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sers\hp\Desktop\"/>
    </mc:Choice>
  </mc:AlternateContent>
  <workbookProtection workbookPassword="EFA6" lockStructure="1"/>
  <bookViews>
    <workbookView xWindow="0" yWindow="0" windowWidth="28800" windowHeight="12450" tabRatio="775"/>
  </bookViews>
  <sheets>
    <sheet name="Bilgi Girişi - Bordro" sheetId="1" r:id="rId1"/>
    <sheet name="Üst Yazı SGK" sheetId="2" r:id="rId2"/>
    <sheet name="Bildirim" sheetId="3" r:id="rId3"/>
    <sheet name="5510 Sonrası SGK" sheetId="4" state="hidden" r:id="rId4"/>
    <sheet name="Faiz Hesaplama" sheetId="5" r:id="rId5"/>
    <sheet name="EK-1" sheetId="6" state="hidden" r:id="rId6"/>
  </sheets>
  <externalReferences>
    <externalReference r:id="rId7"/>
  </externalReferences>
  <definedNames>
    <definedName name="AGİ">'Bilgi Girişi - Bordro'!$C$43</definedName>
    <definedName name="alınan">'Bilgi Girişi - Bordro'!$J$23</definedName>
    <definedName name="alm.ger">'Bilgi Girişi - Bordro'!$K$23</definedName>
    <definedName name="aüit">'Bilgi Girişi - Bordro'!$C$21</definedName>
    <definedName name="AVM">'Bilgi Girişi - Bordro'!$C$23</definedName>
    <definedName name="bau">'Bilgi Girişi - Bordro'!$C$22</definedName>
    <definedName name="çalışılangün" localSheetId="5">'[1]Bilgi Girişi - Bordro'!$M$53</definedName>
    <definedName name="çalışılangün">'Bilgi Girişi - Bordro'!$M$24</definedName>
    <definedName name="çalışılmayangün" localSheetId="5">'[1]Bilgi Girişi - Bordro'!$M$54</definedName>
    <definedName name="çalışılmayangün">'Bilgi Girişi - Bordro'!$M$25</definedName>
    <definedName name="çalışmadığıgün_sgk">'Bilgi Girişi - Bordro'!$M$22</definedName>
    <definedName name="çalıştığıgün_sgk">'Bilgi Girişi - Bordro'!$M$21</definedName>
    <definedName name="çalıştığıgünmaaş">'Bilgi Girişi - Bordro'!#REF!</definedName>
    <definedName name="ÇGS" localSheetId="5">'[1]Bilgi Girişi - Bordro'!$M$41</definedName>
    <definedName name="ÇMGS">'Bilgi Girişi - Bordro'!$M$22</definedName>
    <definedName name="dv" localSheetId="5">'[1]Bilgi Girişi - Bordro'!$O$33</definedName>
    <definedName name="dv">'Bilgi Girişi - Bordro'!$O$13</definedName>
    <definedName name="emeklilik_kanunu">'Bilgi Girişi - Bordro'!$O$19</definedName>
    <definedName name="fark" localSheetId="5">'[1]Bilgi Girişi - Bordro'!$L$53</definedName>
    <definedName name="fark">'Bilgi Girişi - Bordro'!$L$23</definedName>
    <definedName name="fark.borç">'Bilgi Girişi - Bordro'!$L$25</definedName>
    <definedName name="fark.m.e.">'Bilgi Girişi - Bordro'!$L$24</definedName>
    <definedName name="g_ver" localSheetId="5">'[1]Bilgi Girişi - Bordro'!$M$48</definedName>
    <definedName name="g_ver">'Bilgi Girişi - Bordro'!$M$6</definedName>
    <definedName name="GAT" localSheetId="5">'[1]Bilgi Girişi - Bordro'!$C$58</definedName>
    <definedName name="GAT">'Bilgi Girişi - Bordro'!$C$28</definedName>
    <definedName name="GAVMT">'Bilgi Girişi - Bordro'!$C$24</definedName>
    <definedName name="GÖİEGS" localSheetId="5">'[1]Bilgi Girişi - Bordro'!$C$55</definedName>
    <definedName name="GÖİEGS">'Bilgi Girişi - Bordro'!$C$25</definedName>
    <definedName name="GörAyrSebebi">'Bilgi Girişi - Bordro'!$C$29</definedName>
    <definedName name="Hes.gel.ver.">'Bilgi Girişi - Bordro'!$N$6</definedName>
    <definedName name="Hizmet">'Bilgi Girişi - Bordro'!$O$38</definedName>
    <definedName name="Hizmetyılı">'Bilgi Girişi - Bordro'!$M$38</definedName>
    <definedName name="KANUN" localSheetId="5">'[1]Bilgi Girişi - Bordro'!$O$39</definedName>
    <definedName name="kes.ger.">'Bilgi Girişi - Bordro'!$K$24</definedName>
    <definedName name="KesGelVer">'Bilgi Girişi - Bordro'!$J$9</definedName>
    <definedName name="kesilen">'Bilgi Girişi - Bordro'!$J$24</definedName>
    <definedName name="KYIL" localSheetId="5">'[1]Bilgi Girişi - Bordro'!$D$44</definedName>
    <definedName name="KYIL">'Bilgi Girişi - Bordro'!$D$14</definedName>
    <definedName name="madde87" localSheetId="5">'[1]Bilgi Girişi - Bordro'!$J$56</definedName>
    <definedName name="madde87">'Bilgi Girişi - Bordro'!$J$26</definedName>
    <definedName name="MBT">'Bilgi Girişi - Bordro'!$C$26</definedName>
    <definedName name="MÖT" localSheetId="5">'[1]Bilgi Girişi - Bordro'!$C$57</definedName>
    <definedName name="MÖT">'Bilgi Girişi - Bordro'!$C$27</definedName>
    <definedName name="öd.ger">'Bilgi Girişi - Bordro'!$K$25</definedName>
    <definedName name="ödenen">'Bilgi Girişi - Bordro'!$J$25</definedName>
    <definedName name="sgk_gss_iadesi" localSheetId="5">'[1]Bilgi Girişi - Bordro'!$J$57</definedName>
    <definedName name="sgk_gss_iadesi">'Bilgi Girişi - Bordro'!$J$27</definedName>
    <definedName name="sgk_kanun">'Bilgi Girişi - Bordro'!$O$19</definedName>
    <definedName name="tarih" localSheetId="2">Bildirim!#REF!</definedName>
    <definedName name="tarih" localSheetId="1">'Üst Yazı SGK'!#REF!</definedName>
    <definedName name="TMAGS" localSheetId="5">'[1]Bilgi Girişi - Bordro'!$C$54</definedName>
    <definedName name="TMAGS">'Bilgi Girişi - Bordro'!$M$26</definedName>
    <definedName name="_xlnm.Print_Area" localSheetId="3">'5510 Sonrası SGK'!$A$1:$I$53</definedName>
    <definedName name="_xlnm.Print_Area" localSheetId="2">Bildirim!$A$1:$AI$28</definedName>
    <definedName name="_xlnm.Print_Area" localSheetId="0">'Bilgi Girişi - Bordro'!$A$1:$L$39</definedName>
    <definedName name="_xlnm.Print_Area" localSheetId="1">'Üst Yazı SGK'!$A$1:$AI$32</definedName>
    <definedName name="Z_0F3F1C90_890E_4313_B539_FB7487F9242F_.wvu.Cols" localSheetId="0" hidden="1">'Bilgi Girişi - Bordro'!$M:$P</definedName>
    <definedName name="Z_0F3F1C90_890E_4313_B539_FB7487F9242F_.wvu.PrintArea" localSheetId="3" hidden="1">'5510 Sonrası SGK'!$A$1:$I$53</definedName>
    <definedName name="Z_0F3F1C90_890E_4313_B539_FB7487F9242F_.wvu.PrintArea" localSheetId="2" hidden="1">Bildirim!$A$1:$AI$28</definedName>
    <definedName name="Z_0F3F1C90_890E_4313_B539_FB7487F9242F_.wvu.PrintArea" localSheetId="0" hidden="1">'Bilgi Girişi - Bordro'!$A$1:$L$39</definedName>
    <definedName name="Z_0F3F1C90_890E_4313_B539_FB7487F9242F_.wvu.PrintArea" localSheetId="1" hidden="1">'Üst Yazı SGK'!$A$1:$AI$32</definedName>
  </definedNames>
  <calcPr calcId="152511"/>
  <customWorkbookViews>
    <customWorkbookView name="PRO2000 - Kişisel Görünüm" guid="{0F3F1C90-890E-4313-B539-FB7487F9242F}" mergeInterval="0" personalView="1" maximized="1" xWindow="1" yWindow="1" windowWidth="1596" windowHeight="648" tabRatio="7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M4" i="1"/>
  <c r="M3" i="1"/>
  <c r="C21" i="1"/>
  <c r="M6" i="1" s="1"/>
  <c r="M13" i="1"/>
  <c r="J24" i="1" l="1"/>
  <c r="J23" i="1"/>
  <c r="J25" i="1" l="1"/>
  <c r="L19" i="2"/>
  <c r="O14" i="1"/>
  <c r="N16" i="1"/>
  <c r="M18" i="1"/>
  <c r="N18" i="1"/>
  <c r="M15" i="1"/>
  <c r="K17" i="1"/>
  <c r="H26" i="6" s="1"/>
  <c r="K18" i="1"/>
  <c r="H27" i="6" s="1"/>
  <c r="K19" i="1"/>
  <c r="H28" i="6" s="1"/>
  <c r="K20" i="1"/>
  <c r="L20" i="1" s="1"/>
  <c r="I29" i="6" s="1"/>
  <c r="K21" i="1"/>
  <c r="L21" i="1" s="1"/>
  <c r="I30" i="6" s="1"/>
  <c r="K22" i="1"/>
  <c r="H31" i="6" s="1"/>
  <c r="M38" i="1"/>
  <c r="O38" i="1" s="1"/>
  <c r="M26" i="1"/>
  <c r="L17" i="2"/>
  <c r="L18" i="2"/>
  <c r="L16" i="2"/>
  <c r="AC20" i="2"/>
  <c r="R2" i="3"/>
  <c r="N13" i="1"/>
  <c r="G22" i="6"/>
  <c r="G21" i="6"/>
  <c r="G13" i="6"/>
  <c r="I13" i="6" s="1"/>
  <c r="G12" i="6"/>
  <c r="I12" i="6" s="1"/>
  <c r="F13" i="6"/>
  <c r="F12" i="6"/>
  <c r="G31" i="6"/>
  <c r="G30" i="6"/>
  <c r="G29" i="6"/>
  <c r="G28" i="6"/>
  <c r="G27" i="6"/>
  <c r="G26" i="6"/>
  <c r="G25" i="6"/>
  <c r="G24" i="6"/>
  <c r="G23" i="6"/>
  <c r="G20" i="6"/>
  <c r="F24" i="6"/>
  <c r="G19" i="6"/>
  <c r="F30" i="6"/>
  <c r="F31" i="6"/>
  <c r="F20" i="6"/>
  <c r="F23" i="6"/>
  <c r="F25" i="6"/>
  <c r="F26" i="6"/>
  <c r="F27" i="6"/>
  <c r="F28" i="6"/>
  <c r="F29" i="6"/>
  <c r="F19" i="6"/>
  <c r="F11" i="6"/>
  <c r="G11" i="6"/>
  <c r="B12" i="6"/>
  <c r="B13" i="6"/>
  <c r="B14" i="6"/>
  <c r="B15" i="6"/>
  <c r="B16" i="6"/>
  <c r="B17" i="6"/>
  <c r="B18" i="6"/>
  <c r="B19" i="6"/>
  <c r="B20" i="6"/>
  <c r="B21" i="6"/>
  <c r="B23" i="6"/>
  <c r="B24" i="6"/>
  <c r="B25" i="6"/>
  <c r="B26" i="6"/>
  <c r="B27" i="6"/>
  <c r="B28" i="6"/>
  <c r="B29" i="6"/>
  <c r="B30" i="6"/>
  <c r="B31" i="6"/>
  <c r="B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11" i="6"/>
  <c r="N15" i="1"/>
  <c r="L33" i="4"/>
  <c r="H22" i="4"/>
  <c r="H35" i="4" s="1"/>
  <c r="G35" i="4"/>
  <c r="AC18" i="2"/>
  <c r="M16" i="1"/>
  <c r="G24" i="4"/>
  <c r="G27" i="4"/>
  <c r="K29" i="4"/>
  <c r="L29" i="4"/>
  <c r="K30" i="4"/>
  <c r="L30" i="4"/>
  <c r="K31" i="4"/>
  <c r="L31" i="4"/>
  <c r="K32" i="4"/>
  <c r="K33" i="4"/>
  <c r="K34" i="4"/>
  <c r="K35" i="4"/>
  <c r="K36" i="4"/>
  <c r="K37" i="4"/>
  <c r="K38" i="4"/>
  <c r="K39" i="4"/>
  <c r="L39" i="4"/>
  <c r="K40" i="4"/>
  <c r="K41" i="4"/>
  <c r="K42" i="4"/>
  <c r="K43" i="4"/>
  <c r="A44" i="4"/>
  <c r="K44" i="4"/>
  <c r="L44" i="4"/>
  <c r="K45" i="4"/>
  <c r="K46" i="4"/>
  <c r="K47" i="4"/>
  <c r="K48" i="4"/>
  <c r="K49" i="4"/>
  <c r="K50" i="4"/>
  <c r="I53" i="4"/>
  <c r="R1" i="3"/>
  <c r="B18" i="2"/>
  <c r="AC19" i="2"/>
  <c r="L20" i="2"/>
  <c r="B21" i="2"/>
  <c r="T21" i="2"/>
  <c r="B22" i="2"/>
  <c r="T22" i="2"/>
  <c r="B23" i="2"/>
  <c r="T23" i="2"/>
  <c r="H14" i="6"/>
  <c r="L40" i="4"/>
  <c r="B22" i="6"/>
  <c r="M17" i="1" l="1"/>
  <c r="H31" i="4"/>
  <c r="H27" i="4"/>
  <c r="L19" i="1"/>
  <c r="I28" i="6" s="1"/>
  <c r="H30" i="6"/>
  <c r="O18" i="1"/>
  <c r="O19" i="1" s="1"/>
  <c r="M40" i="1" s="1"/>
  <c r="I34" i="1" s="1"/>
  <c r="L17" i="1"/>
  <c r="I26" i="6" s="1"/>
  <c r="O13" i="1"/>
  <c r="L22" i="1"/>
  <c r="I31" i="6" s="1"/>
  <c r="L18" i="1"/>
  <c r="I27" i="6" s="1"/>
  <c r="N17" i="1"/>
  <c r="L51" i="4"/>
  <c r="G29" i="4" s="1"/>
  <c r="H29" i="4" s="1"/>
  <c r="B32" i="6"/>
  <c r="G32" i="6"/>
  <c r="G14" i="6"/>
  <c r="M5" i="1"/>
  <c r="M24" i="1"/>
  <c r="G34" i="1" s="1"/>
  <c r="I22" i="4"/>
  <c r="I27" i="4" s="1"/>
  <c r="G28" i="1"/>
  <c r="N23" i="1"/>
  <c r="M23" i="1" s="1"/>
  <c r="M22" i="1" s="1"/>
  <c r="H29" i="6"/>
  <c r="M11" i="1" l="1"/>
  <c r="M9" i="1"/>
  <c r="M7" i="1"/>
  <c r="M10" i="1"/>
  <c r="M8" i="1"/>
  <c r="G19" i="1"/>
  <c r="C20" i="6" s="1"/>
  <c r="M21" i="1"/>
  <c r="M35" i="1"/>
  <c r="G33" i="4"/>
  <c r="D38" i="4" s="1"/>
  <c r="G38" i="4" s="1"/>
  <c r="M29" i="1"/>
  <c r="N29" i="1" s="1"/>
  <c r="O29" i="1" s="1"/>
  <c r="K13" i="1" s="1"/>
  <c r="G18" i="1"/>
  <c r="C19" i="6" s="1"/>
  <c r="M31" i="1"/>
  <c r="M27" i="1"/>
  <c r="M32" i="1"/>
  <c r="H34" i="1"/>
  <c r="D31" i="6" s="1"/>
  <c r="C31" i="6"/>
  <c r="M28" i="1"/>
  <c r="C28" i="6"/>
  <c r="H28" i="1"/>
  <c r="D28" i="6" s="1"/>
  <c r="M25" i="1"/>
  <c r="G32" i="1" s="1"/>
  <c r="H32" i="1" s="1"/>
  <c r="M36" i="1"/>
  <c r="M30" i="1"/>
  <c r="O3" i="1" l="1"/>
  <c r="G33" i="1"/>
  <c r="H33" i="1" s="1"/>
  <c r="G31" i="1"/>
  <c r="H19" i="1"/>
  <c r="D20" i="6" s="1"/>
  <c r="D41" i="4"/>
  <c r="G41" i="4" s="1"/>
  <c r="H33" i="4"/>
  <c r="F38" i="4" s="1"/>
  <c r="H38" i="4" s="1"/>
  <c r="I38" i="4" s="1"/>
  <c r="D40" i="4"/>
  <c r="G40" i="4" s="1"/>
  <c r="A34" i="4"/>
  <c r="D37" i="4"/>
  <c r="G37" i="4" s="1"/>
  <c r="H18" i="1"/>
  <c r="D19" i="6" s="1"/>
  <c r="P4" i="1"/>
  <c r="O4" i="1"/>
  <c r="H11" i="6"/>
  <c r="L13" i="1"/>
  <c r="N27" i="1"/>
  <c r="O27" i="1" s="1"/>
  <c r="G17" i="1" s="1"/>
  <c r="N31" i="1"/>
  <c r="O31" i="1" s="1"/>
  <c r="K15" i="1" s="1"/>
  <c r="N32" i="1"/>
  <c r="O32" i="1" s="1"/>
  <c r="K16" i="1" s="1"/>
  <c r="G30" i="1"/>
  <c r="G14" i="1"/>
  <c r="H14" i="1" s="1"/>
  <c r="G29" i="1"/>
  <c r="H29" i="1" s="1"/>
  <c r="G11" i="1"/>
  <c r="G13" i="1"/>
  <c r="G20" i="1"/>
  <c r="G15" i="1"/>
  <c r="G10" i="1"/>
  <c r="G27" i="1"/>
  <c r="G12" i="1"/>
  <c r="K11" i="1"/>
  <c r="G26" i="1"/>
  <c r="G22" i="1"/>
  <c r="H22" i="1" s="1"/>
  <c r="G23" i="1"/>
  <c r="G25" i="1"/>
  <c r="G9" i="1"/>
  <c r="G21" i="1"/>
  <c r="K12" i="1"/>
  <c r="G16" i="1"/>
  <c r="N28" i="1"/>
  <c r="O28" i="1" s="1"/>
  <c r="G24" i="1" s="1"/>
  <c r="N30" i="1"/>
  <c r="O30" i="1" s="1"/>
  <c r="K14" i="1" s="1"/>
  <c r="N3" i="1" l="1"/>
  <c r="F40" i="4"/>
  <c r="H40" i="4" s="1"/>
  <c r="I40" i="4" s="1"/>
  <c r="N37" i="4" s="1"/>
  <c r="F37" i="4"/>
  <c r="H37" i="4" s="1"/>
  <c r="I37" i="4" s="1"/>
  <c r="G43" i="4"/>
  <c r="F41" i="4"/>
  <c r="H41" i="4" s="1"/>
  <c r="I41" i="4" s="1"/>
  <c r="O6" i="1"/>
  <c r="O5" i="1" s="1"/>
  <c r="L14" i="1"/>
  <c r="H23" i="6"/>
  <c r="H17" i="1"/>
  <c r="D18" i="6" s="1"/>
  <c r="C18" i="6"/>
  <c r="C22" i="6"/>
  <c r="H21" i="1"/>
  <c r="D22" i="6" s="1"/>
  <c r="L15" i="1"/>
  <c r="H24" i="6"/>
  <c r="K23" i="1"/>
  <c r="C11" i="6"/>
  <c r="H9" i="1"/>
  <c r="H27" i="1"/>
  <c r="D27" i="6" s="1"/>
  <c r="C27" i="6"/>
  <c r="C29" i="6"/>
  <c r="H30" i="1"/>
  <c r="D29" i="6" s="1"/>
  <c r="C25" i="6"/>
  <c r="H25" i="1"/>
  <c r="D25" i="6" s="1"/>
  <c r="C12" i="6"/>
  <c r="H10" i="1"/>
  <c r="D12" i="6" s="1"/>
  <c r="H24" i="1"/>
  <c r="D24" i="6" s="1"/>
  <c r="C24" i="6"/>
  <c r="H31" i="1"/>
  <c r="D30" i="6" s="1"/>
  <c r="C30" i="6"/>
  <c r="C16" i="6"/>
  <c r="H15" i="1"/>
  <c r="D16" i="6" s="1"/>
  <c r="C23" i="6"/>
  <c r="H23" i="1"/>
  <c r="D23" i="6" s="1"/>
  <c r="H20" i="1"/>
  <c r="D21" i="6" s="1"/>
  <c r="C21" i="6"/>
  <c r="H13" i="1"/>
  <c r="D15" i="6" s="1"/>
  <c r="C15" i="6"/>
  <c r="C14" i="6"/>
  <c r="H12" i="1"/>
  <c r="D14" i="6" s="1"/>
  <c r="L16" i="1"/>
  <c r="H25" i="6"/>
  <c r="H16" i="1"/>
  <c r="D17" i="6" s="1"/>
  <c r="C17" i="6"/>
  <c r="C26" i="6"/>
  <c r="H26" i="1"/>
  <c r="D26" i="6" s="1"/>
  <c r="H11" i="1"/>
  <c r="D13" i="6" s="1"/>
  <c r="C13" i="6"/>
  <c r="I11" i="6"/>
  <c r="I14" i="6" s="1"/>
  <c r="AC22" i="2"/>
  <c r="H22" i="6"/>
  <c r="L12" i="1"/>
  <c r="H21" i="6"/>
  <c r="L11" i="1"/>
  <c r="K10" i="1" l="1"/>
  <c r="L10" i="1" s="1"/>
  <c r="H43" i="4"/>
  <c r="I22" i="6"/>
  <c r="AC21" i="2"/>
  <c r="AC23" i="2"/>
  <c r="I24" i="6"/>
  <c r="N4" i="1"/>
  <c r="N5" i="1" s="1"/>
  <c r="N6" i="1" s="1"/>
  <c r="N36" i="4"/>
  <c r="N38" i="4" s="1"/>
  <c r="I43" i="4"/>
  <c r="L23" i="2"/>
  <c r="I25" i="6"/>
  <c r="L23" i="1"/>
  <c r="D11" i="6"/>
  <c r="D32" i="6" s="1"/>
  <c r="C32" i="6"/>
  <c r="L21" i="2"/>
  <c r="I21" i="6"/>
  <c r="I23" i="6"/>
  <c r="L22" i="2"/>
  <c r="N8" i="1" l="1"/>
  <c r="N9" i="1" s="1"/>
  <c r="N10" i="1"/>
  <c r="H20" i="6"/>
  <c r="I20" i="6"/>
  <c r="J28" i="1"/>
  <c r="AC24" i="2"/>
  <c r="L9" i="1" l="1"/>
  <c r="I19" i="6" l="1"/>
  <c r="I32" i="6" s="1"/>
  <c r="H36" i="6" s="1"/>
  <c r="L24" i="1"/>
  <c r="J29" i="1" s="1"/>
  <c r="K9" i="1"/>
  <c r="H19" i="6" s="1"/>
  <c r="H32" i="6" s="1"/>
  <c r="L25" i="1" l="1"/>
  <c r="J30" i="1" s="1"/>
  <c r="O15" i="3" s="1"/>
  <c r="B10" i="5" s="1"/>
  <c r="B11" i="5" s="1"/>
  <c r="B12" i="5" s="1"/>
  <c r="K24" i="1"/>
</calcChain>
</file>

<file path=xl/comments1.xml><?xml version="1.0" encoding="utf-8"?>
<comments xmlns="http://schemas.openxmlformats.org/spreadsheetml/2006/main">
  <authors>
    <author>PRO2000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M.Ali: İlgili ayın kaç gün sürdüğü yazılacak. 15.07.2012 de alınan maaş için 7. Ayın Gün Sayısı!!! Yani (31)
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<sst xmlns="http://schemas.openxmlformats.org/spreadsheetml/2006/main" count="291" uniqueCount="251">
  <si>
    <t>:</t>
  </si>
  <si>
    <t>EKLER           :</t>
  </si>
  <si>
    <t>(Sigorta Primleri Genel Müdürlüğü)</t>
  </si>
  <si>
    <t>(İşverenler Prim Daire Başkanlığı)</t>
  </si>
  <si>
    <t>Toplam</t>
  </si>
  <si>
    <t>Kurumu / Birimi</t>
  </si>
  <si>
    <t>Gelir Toplamı</t>
  </si>
  <si>
    <t>Kesinti Toplamı</t>
  </si>
  <si>
    <t>PERSONEL BİLGİLERİ</t>
  </si>
  <si>
    <t>GELİR</t>
  </si>
  <si>
    <t>KESİNTİ</t>
  </si>
  <si>
    <t>T.C. Kimlik Numarası</t>
  </si>
  <si>
    <t>ADI</t>
  </si>
  <si>
    <t>Adı Soyadı</t>
  </si>
  <si>
    <t>Aylık Tutar</t>
  </si>
  <si>
    <t>Gelir Vergisi</t>
  </si>
  <si>
    <t>Kurum Sicil Numarası</t>
  </si>
  <si>
    <t>Ek Gosterge</t>
  </si>
  <si>
    <t>Damga Vergisi</t>
  </si>
  <si>
    <t>Emekli sicil Numarası</t>
  </si>
  <si>
    <t>Taban Aylık</t>
  </si>
  <si>
    <t>Emekli Keseneği (Devlet)</t>
  </si>
  <si>
    <t>Hizmet Sınıfı / Ünvanı</t>
  </si>
  <si>
    <t>Kıdem Aylık</t>
  </si>
  <si>
    <t>Emekli Keseneği (Kişi)</t>
  </si>
  <si>
    <t>Medeni Hali / Çocuk Sayısı</t>
  </si>
  <si>
    <t>Yan Odeme</t>
  </si>
  <si>
    <t>Kıdem Ay / Yıl</t>
  </si>
  <si>
    <t>Derece / Kademe</t>
  </si>
  <si>
    <t>Artış %100 (Devlet)</t>
  </si>
  <si>
    <t>Gen.Sag.Sig.Pir.(Devlet)</t>
  </si>
  <si>
    <t>Giriş %25 (Devlet)</t>
  </si>
  <si>
    <t>Gen.Sag.Sig.Pir.(Kişi)</t>
  </si>
  <si>
    <t>Aile Yardımı</t>
  </si>
  <si>
    <t>Raporlu Gun</t>
  </si>
  <si>
    <t>Çocuk Yardımı</t>
  </si>
  <si>
    <t>Sigorta</t>
  </si>
  <si>
    <t>Net Ödenen</t>
  </si>
  <si>
    <t>Aylık Vergi Matrahı</t>
  </si>
  <si>
    <t>Dil Tazminatı</t>
  </si>
  <si>
    <t>Asgari Geçim İndirimi Tutarı</t>
  </si>
  <si>
    <t>Ek Öde.(666 KHK</t>
  </si>
  <si>
    <t>Fark</t>
  </si>
  <si>
    <t>Kesilen</t>
  </si>
  <si>
    <t>Em.Kes.Dev.</t>
  </si>
  <si>
    <t>Lojman Yardımı</t>
  </si>
  <si>
    <t>Sağ. Sig. Pir. (D)</t>
  </si>
  <si>
    <t>Ünv. Ödeneği</t>
  </si>
  <si>
    <t>İdari Görev Öd.</t>
  </si>
  <si>
    <t>Eğitim Öğrt. Öd.</t>
  </si>
  <si>
    <t>Gel.G.Ç.Yrd.G.Öd.</t>
  </si>
  <si>
    <t>Makam Tazminatı</t>
  </si>
  <si>
    <t>Tem./ Gör. Taz.</t>
  </si>
  <si>
    <t>İcra</t>
  </si>
  <si>
    <t>Kişi Borcu Mahsubu</t>
  </si>
  <si>
    <t>Kesilm. Gereken</t>
  </si>
  <si>
    <t>Nafaka</t>
  </si>
  <si>
    <t>Sendika Aidati</t>
  </si>
  <si>
    <t>Diğer Kesintiler</t>
  </si>
  <si>
    <t>Toplam Borç</t>
  </si>
  <si>
    <t>Mahsup Edilen</t>
  </si>
  <si>
    <t>Ödenecek</t>
  </si>
  <si>
    <t>Maaş Ödeme Tarihi</t>
  </si>
  <si>
    <t>kıdem yılı esaslı 5510 sayılı kanun öncesi ve sonrası hesaplaması</t>
  </si>
  <si>
    <t>Görevden Ayrılma Tarihi</t>
  </si>
  <si>
    <t>Adres: Mithatpaşa Cad. No:7 Sıhhıye ANKARA</t>
  </si>
  <si>
    <t xml:space="preserve">DİKKAT :  VERİ GİRİŞİ SADECE SARI ALANLARA YAPILACAKTIR. </t>
  </si>
  <si>
    <t xml:space="preserve">Görev Yaptığı
 Kurumun </t>
  </si>
  <si>
    <t>Adı</t>
  </si>
  <si>
    <t>Saymanlık No</t>
  </si>
  <si>
    <t>Kurum No</t>
  </si>
  <si>
    <t xml:space="preserve">Bağlı Olduğu Saymanlığın </t>
  </si>
  <si>
    <t xml:space="preserve">Adı  </t>
  </si>
  <si>
    <t xml:space="preserve">Mosip Saymanlık No </t>
  </si>
  <si>
    <t>Görevden Ayrılış Sebebi</t>
  </si>
  <si>
    <t xml:space="preserve">Sigortalının Adı-Soyadı </t>
  </si>
  <si>
    <t>TC No</t>
  </si>
  <si>
    <t>Emekli Sicil No</t>
  </si>
  <si>
    <t xml:space="preserve">Prim Oranları  </t>
  </si>
  <si>
    <t xml:space="preserve">Sigortalı </t>
  </si>
  <si>
    <t xml:space="preserve">İşveren </t>
  </si>
  <si>
    <t>MYÖ (%)</t>
  </si>
  <si>
    <t>GSS (%)</t>
  </si>
  <si>
    <t xml:space="preserve">İADE YAPILACAK AYA İLİŞKİN </t>
  </si>
  <si>
    <t>Gelen 
Prim Ödeme
 Gün Sayısı</t>
  </si>
  <si>
    <t>Gelmesi  Gereken
 Prim Ödeme
 Gün Sayısı</t>
  </si>
  <si>
    <t>İade Edilecek
 Gün Sayısı</t>
  </si>
  <si>
    <r>
      <t xml:space="preserve">Hizmet Başlangıç  </t>
    </r>
    <r>
      <rPr>
        <sz val="10"/>
        <rFont val="Times New Roman"/>
        <family val="1"/>
        <charset val="162"/>
      </rPr>
      <t>(gg.aa.yyyy)</t>
    </r>
  </si>
  <si>
    <r>
      <t xml:space="preserve">Hizmet Sonu         </t>
    </r>
    <r>
      <rPr>
        <sz val="10"/>
        <rFont val="Times New Roman"/>
        <family val="1"/>
        <charset val="162"/>
      </rPr>
      <t xml:space="preserve"> (gg.aa.yyyy)</t>
    </r>
  </si>
  <si>
    <t xml:space="preserve">GSS İadesi ( 0=YOK)  (1=VAR) </t>
  </si>
  <si>
    <t xml:space="preserve">GELEN </t>
  </si>
  <si>
    <t xml:space="preserve">GELMESİ
 GEREKEN </t>
  </si>
  <si>
    <t xml:space="preserve">İADE
 TUTARI </t>
  </si>
  <si>
    <t>Prim Ödeme Gün Sayısı:</t>
  </si>
  <si>
    <t>Aylık/Maaş Toplamı:</t>
  </si>
  <si>
    <t>Tazminat/ Ek Ödeme Toplamı:</t>
  </si>
  <si>
    <t>PEK Genel Toplam:</t>
  </si>
  <si>
    <t>Sigortalı:   % 9   MYO</t>
  </si>
  <si>
    <t>Sigortalı:    % 5   GSS</t>
  </si>
  <si>
    <t>Kurum:     % 11   MYO</t>
  </si>
  <si>
    <t>Kurum:      % 7,5  GSS</t>
  </si>
  <si>
    <t xml:space="preserve">PRİM TOPLAMI </t>
  </si>
  <si>
    <t>İADE EDİLECEK TUTARLAR</t>
  </si>
  <si>
    <t xml:space="preserve">Dönem </t>
  </si>
  <si>
    <t>Ay</t>
  </si>
  <si>
    <t xml:space="preserve">İade Tutarı </t>
  </si>
  <si>
    <t xml:space="preserve">TOPLAM </t>
  </si>
  <si>
    <t>Görevden Ayrılma Sebebi</t>
  </si>
  <si>
    <t>Ait Olduğu Yıl / Ay</t>
  </si>
  <si>
    <t>Ordu Üniversitesi</t>
  </si>
  <si>
    <t>Maaş Borçlandırma Tablosu</t>
  </si>
  <si>
    <t>T.C. Kimlik No</t>
  </si>
  <si>
    <t>Görevden Ayrılış Tarihi</t>
  </si>
  <si>
    <t>Telefon</t>
  </si>
  <si>
    <t>Ait Olduğu Ay / Yıl</t>
  </si>
  <si>
    <t>Adres</t>
  </si>
  <si>
    <t xml:space="preserve">        Üniversitemizde görev yapmakta iken adınıza yapılan ve aşağıda ayrıntısı yer alan ödemenin yersiz olduğu yapılan inceleme sonucu anlaşılmış ve adınıza borç tahakkuku yapılmıştır.</t>
  </si>
  <si>
    <t xml:space="preserve">       Bilgilerinizi ve gereğini rica ederim.</t>
  </si>
  <si>
    <t>Ana Para</t>
  </si>
  <si>
    <t>Fazladan Ödenen Maaş</t>
  </si>
  <si>
    <t>Yersiz Ödeme Konusu</t>
  </si>
  <si>
    <t>Sayın   :</t>
  </si>
  <si>
    <t>İletişim 0312 458 70 58 SGK Sube Müdürü Muzaffer Bey</t>
  </si>
  <si>
    <t>Özel Hiz. Taz.</t>
  </si>
  <si>
    <t>Toplu Söz. İkr.</t>
  </si>
  <si>
    <t>Giriş %25 (Devlet+Kişi)</t>
  </si>
  <si>
    <t>Artış %100 (Devlet+Kişi)</t>
  </si>
  <si>
    <t>Ek Gösterge (Emek. Esas)</t>
  </si>
  <si>
    <t>Derece / Kad. (Emek. Esas)</t>
  </si>
  <si>
    <t>Geçen Aylar Vergi Mat.Top.</t>
  </si>
  <si>
    <t>Geliş. Öde. İade Ed.Gün Say.</t>
  </si>
  <si>
    <t xml:space="preserve">          Üniversitemizde çalışmakta iken görevinden ayrılan personel adına fazladan maaş ödemesi yapılmıştır. Personel ve ödemelerle ilgili bilgiler aşağıdaki tabloda gösterilmiş ve belgeler ekte sunulmuştur.</t>
  </si>
  <si>
    <r>
      <rPr>
        <b/>
        <sz val="12"/>
        <color indexed="8"/>
        <rFont val="Times New Roman"/>
        <family val="1"/>
        <charset val="162"/>
      </rPr>
      <t>1-</t>
    </r>
    <r>
      <rPr>
        <sz val="12"/>
        <color indexed="8"/>
        <rFont val="Times New Roman"/>
        <family val="1"/>
        <charset val="162"/>
      </rPr>
      <t xml:space="preserve"> Ücretsiz İzne Ayrılma Onayı (1 Sayfa)</t>
    </r>
  </si>
  <si>
    <r>
      <rPr>
        <b/>
        <sz val="12"/>
        <color indexed="8"/>
        <rFont val="Times New Roman"/>
        <family val="1"/>
        <charset val="162"/>
      </rPr>
      <t xml:space="preserve">2- </t>
    </r>
    <r>
      <rPr>
        <sz val="12"/>
        <color indexed="8"/>
        <rFont val="Times New Roman"/>
        <family val="1"/>
        <charset val="162"/>
      </rPr>
      <t>Hizmet Belgesi (1 Sayfa)</t>
    </r>
  </si>
  <si>
    <t>Memuriyete Başlama Tarihi</t>
  </si>
  <si>
    <t>Yararlanmıyor</t>
  </si>
  <si>
    <t>5434 Say. Kan. 87. Mad.</t>
  </si>
  <si>
    <t>Kıdem Yılına Göre 87. Maddeden Yararlanma Durumu</t>
  </si>
  <si>
    <t>Çalışmadığı gün sayısı (SGK pirimleri Açısından)</t>
  </si>
  <si>
    <t>Yapmayacak</t>
  </si>
  <si>
    <t>SGK GSS İadesi</t>
  </si>
  <si>
    <t>Göreve son verme</t>
  </si>
  <si>
    <t>Müstafi sayılma</t>
  </si>
  <si>
    <t>Görev süresinin sona ermesi</t>
  </si>
  <si>
    <t>GSS İadesi</t>
  </si>
  <si>
    <t>Damga Vergisi Oranını Hesaplar</t>
  </si>
  <si>
    <t>SOSYAL GÜVENLİK KURUMU BAŞKANLIĞINA</t>
  </si>
  <si>
    <t>İstifa</t>
  </si>
  <si>
    <t>Askerlik nedeniyle ücretsiz izin</t>
  </si>
  <si>
    <t>Ücretsiz izin</t>
  </si>
  <si>
    <t>İşten Ayrılış Sebepleri</t>
  </si>
  <si>
    <t>Açıklama:</t>
  </si>
  <si>
    <t>Borç</t>
  </si>
  <si>
    <t>Ödeme Tarihi</t>
  </si>
  <si>
    <t>Faiz</t>
  </si>
  <si>
    <t>Faiz Oranı</t>
  </si>
  <si>
    <t xml:space="preserve">Faiz: tebliğden 30 gün sonra başlayacağından proğram bu süreyi düşerek faiz hesaplamaktadır. </t>
  </si>
  <si>
    <t>YERSiZ VE FAZLA ÖDENEN AYLIKLARDAN DOĞAN</t>
  </si>
  <si>
    <t>KİŞİLERDEN ALACAKLARI HESAPLAMA CETVELİ</t>
  </si>
  <si>
    <t>Tahakkuk Birimi</t>
  </si>
  <si>
    <t>Borç Nedeni</t>
  </si>
  <si>
    <t>Borçlunun Adı Soyadı</t>
  </si>
  <si>
    <t>Not</t>
  </si>
  <si>
    <t>Sicil Nosu</t>
  </si>
  <si>
    <t>Unvanı</t>
  </si>
  <si>
    <t>AYLIK UNSURLARI</t>
  </si>
  <si>
    <t>TAHAKKUK ETTİRİLEN</t>
  </si>
  <si>
    <t xml:space="preserve">TAHAKKUK ETTİRİLMESİ GEREKEN </t>
  </si>
  <si>
    <t>FARK</t>
  </si>
  <si>
    <t>( A )</t>
  </si>
  <si>
    <t>( B )</t>
  </si>
  <si>
    <t>( C )</t>
  </si>
  <si>
    <t xml:space="preserve"> TOPLAM</t>
  </si>
  <si>
    <t>TOPLAM</t>
  </si>
  <si>
    <t>KİŞİLERDEN ALACAKLARA ALINACAK TUTAR:</t>
  </si>
  <si>
    <t>GENEL BÜTÇELİ
DAİRELER İÇİN</t>
  </si>
  <si>
    <t>a) 5434/87.Md. yararlanıyor ise = (1+2-3)=</t>
  </si>
  <si>
    <t>b) 5434/87.Md. yararlanmıyor ise = (1-3)=</t>
  </si>
  <si>
    <t>KATMA BÜTÇELİ
DAİRELER İÇİN</t>
  </si>
  <si>
    <t>a) 5434/87.Md. yararlanıyor ise = (1+2)=</t>
  </si>
  <si>
    <t>b) 5434/87.Md. yararlanmıyor ise = (1)=</t>
  </si>
  <si>
    <t>AÇIKLAMALAR:</t>
  </si>
  <si>
    <t>*  (2) 5434 SK.87Md. gereğince toplu ödemeden yararlanılması halinde borç toplamına dahil edilecektir.</t>
  </si>
  <si>
    <r>
      <t>**(3)Yalnızca genel bütçeli idarelerde düşülecektir</t>
    </r>
    <r>
      <rPr>
        <b/>
        <sz val="8"/>
        <color indexed="8"/>
        <rFont val="Times New Roman"/>
        <family val="1"/>
        <charset val="162"/>
      </rPr>
      <t>.</t>
    </r>
  </si>
  <si>
    <t>FİİLEN ÖDENEN</t>
  </si>
  <si>
    <t>HAKEDİLEN</t>
  </si>
  <si>
    <t>FİİLEN KESİLEN</t>
  </si>
  <si>
    <t>KESİLMESİ GEREKEN</t>
  </si>
  <si>
    <t>Giriş %25 (Kişi)</t>
  </si>
  <si>
    <t>Artış %100 (Kişi)</t>
  </si>
  <si>
    <t>TABLO 2: KESİNTİ YAPILAN KATKI PAYLARI</t>
  </si>
  <si>
    <t>TABLO 1: AYLIK VE YAN ÖDEMELER</t>
  </si>
  <si>
    <t>TABLO 3: YASAL KESİNTİLER</t>
  </si>
  <si>
    <t>Tahakkuk Eden</t>
  </si>
  <si>
    <t>Tahakkuk Etm. Ger.</t>
  </si>
  <si>
    <r>
      <rPr>
        <b/>
        <sz val="15"/>
        <color indexed="10"/>
        <rFont val="Calibri"/>
        <family val="2"/>
        <charset val="162"/>
      </rPr>
      <t>Bilgi amaçlıdır.</t>
    </r>
    <r>
      <rPr>
        <sz val="15"/>
        <color indexed="8"/>
        <rFont val="Calibri"/>
        <family val="2"/>
        <charset val="162"/>
      </rPr>
      <t xml:space="preserve">
Faiz Strateji Geliştirme Daire Başkanlığı Muhasebe Servisince Hesaplanarak İlgiliden Tahsil Edilecektir.</t>
    </r>
  </si>
  <si>
    <t>Cep Tel</t>
  </si>
  <si>
    <t>Damga vergisi oranı</t>
  </si>
  <si>
    <t>TEBLİĞ EDEN:</t>
  </si>
  <si>
    <t>TEBELLÜĞ EDEN:</t>
  </si>
  <si>
    <t>İmzası</t>
  </si>
  <si>
    <t>Adı ve Soyadı</t>
  </si>
  <si>
    <t>Tarih</t>
  </si>
  <si>
    <t>…../…../…..</t>
  </si>
  <si>
    <t>Ayın Kaç Gün Çektiğini Hesaplar</t>
  </si>
  <si>
    <t xml:space="preserve">       </t>
  </si>
  <si>
    <t>05*****</t>
  </si>
  <si>
    <t>Yük. Öğrt. Taz.</t>
  </si>
  <si>
    <t>Borcun Tarihi</t>
  </si>
  <si>
    <r>
      <t xml:space="preserve">**** Tabloda Sadece KIRMIZI renkli hücrelere bilgi girişi yapılacaktır.  </t>
    </r>
    <r>
      <rPr>
        <b/>
        <sz val="10"/>
        <color indexed="10"/>
        <rFont val="Calibri"/>
        <family val="2"/>
        <charset val="162"/>
      </rPr>
      <t>Bilgi Girişlerinin Tamamı Bu sayfadan yapılacak,</t>
    </r>
    <r>
      <rPr>
        <sz val="10"/>
        <color indexed="8"/>
        <rFont val="Calibri"/>
        <family val="2"/>
        <charset val="162"/>
      </rPr>
      <t xml:space="preserve"> diğer sayfalardan giriş işlemi yapılamayacaktır.</t>
    </r>
  </si>
  <si>
    <t>Hizmet Yılı</t>
  </si>
  <si>
    <t>Açığa Alınma ( 2 / 3 )</t>
  </si>
  <si>
    <t>Aka. Teş. Ödeneği</t>
  </si>
  <si>
    <t xml:space="preserve">Gelir vergisi oranını ve mahsup edilecek gelir vergisini hesaplar. </t>
  </si>
  <si>
    <t>Gelir Vergisi Oranı</t>
  </si>
  <si>
    <t>Oran 2</t>
  </si>
  <si>
    <t>Oran 1</t>
  </si>
  <si>
    <t>Çalıştığı gün sayısı (SGK pirimleri Açısından)</t>
  </si>
  <si>
    <t>Çalışılan gün maaş günü olark</t>
  </si>
  <si>
    <t>Çalışılmayan gün maaş günü olarak</t>
  </si>
  <si>
    <t>SGK Pirimleri açısından ayın kaç gün çektiği</t>
  </si>
  <si>
    <t>Eğer fonksiyonu sgk pirimleri için hesaplama yapılmak istendiğinde fonksiyon 7 den fazla çalışamadığı için iki parça halinde hesaplama yapılmıştır.</t>
  </si>
  <si>
    <t>SGK Gss iadesi durumu</t>
  </si>
  <si>
    <t>Kişinşn tabi olduğu emeklilik kanunu</t>
  </si>
  <si>
    <t>NOT:</t>
  </si>
  <si>
    <t xml:space="preserve">İlgilinin durumuna göre  Hizmet Belgesi, Ücretsiz İzine Ayrılma Onayı, Maaş Bordrosu, SGK İşten Ayrılış Bildirgesi, Emekli Kesenekleri İadesi Talep Yazısı Fotokopisi, Tebligata ilişkin belgelerin ayrıca eklenmesi gerekmektedir. </t>
  </si>
  <si>
    <t>BES Kesintisi</t>
  </si>
  <si>
    <t xml:space="preserve">         Yapılan fazla ödemelerin Üniversitemiz T.C. Ziraat Bankası Ordu Akyazı Şubesi nezdindeki IBAN TR03 0001 0023 2746 7493 7951 91 nolu hesabına yatırılmasını arz ederim.</t>
  </si>
  <si>
    <t xml:space="preserve">        Söz konusu borcunuzu yazımızın tebliğ tarihinden itibaren en geç 1 ay içerisinde Strateji Geliştirme Daire Başkanlığımız Veznesine veya T.C. Ziraat Bankası Ordu Akyazı Şubesi  nezdindeki  IBAN TR03 0001 0023 2746 7493 7951 91 nolu hesabımıza yatırmanız gerekmektedir.</t>
  </si>
  <si>
    <t>Yapacak</t>
  </si>
  <si>
    <t>Sabit Ek Ödeme</t>
  </si>
  <si>
    <t>GENEL SEKRETERLİK</t>
  </si>
  <si>
    <t xml:space="preserve">ORDU ÜNİVERSİTESİ </t>
  </si>
  <si>
    <t>Brüt Asgari Ücret</t>
  </si>
  <si>
    <t>İlgili Ay.Asgari Ücret G.V.İst.</t>
  </si>
  <si>
    <t>Dönem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</si>
  <si>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</si>
  <si>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</si>
  <si>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</si>
  <si>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</si>
  <si>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</si>
  <si>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</si>
  <si>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</si>
  <si>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</si>
  <si>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</si>
  <si>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</si>
  <si>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</si>
  <si>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</si>
  <si>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İlaveÖd.(375.40</t>
  </si>
  <si>
    <t>Asgari Ücret GV İst.</t>
  </si>
  <si>
    <t>Bürüt As. Üc.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</si>
</sst>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₺_-;\-* #,##0.00\ _₺_-;_-* &quot;-&quot;??\ _₺_-;_-@_-"/>
    <numFmt numFmtId="164" formatCode="_-* #,##0.00\ _T_L_-;\-* #,##0.00\ _T_L_-;_-* &quot;-&quot;??\ _T_L_-;_-@_-"/>
    <numFmt numFmtId="165" formatCode="dd\/mm\/yyyy"/>
    <numFmt numFmtId="166" formatCode="#,##0.00\ &quot;TL&quot;"/>
    <numFmt numFmtId="167" formatCode="#,##0.00000"/>
    <numFmt numFmtId="168" formatCode="dd/mm/yyyy;@"/>
    <numFmt numFmtId="169" formatCode="#,##0_ ;\-#,##0\ "/>
    <numFmt numFmtId="170" formatCode="#,##0.0000"/>
  </numFmts>
  <fonts count="50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b/>
      <sz val="10"/>
      <color indexed="9"/>
      <name val="Arial Unicode MS"/>
      <family val="2"/>
      <charset val="162"/>
    </font>
    <font>
      <sz val="10"/>
      <color indexed="12"/>
      <name val="Arial Unicode MS"/>
      <family val="2"/>
      <charset val="162"/>
    </font>
    <font>
      <sz val="10"/>
      <color indexed="18"/>
      <name val="Arial"/>
      <family val="2"/>
      <charset val="162"/>
    </font>
    <font>
      <sz val="10"/>
      <name val="Arial"/>
      <family val="2"/>
      <charset val="162"/>
    </font>
    <font>
      <b/>
      <sz val="7"/>
      <color indexed="9"/>
      <name val="Arial Unicode MS"/>
      <family val="2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0"/>
      <name val="Arial Unicode MS"/>
      <family val="2"/>
      <charset val="162"/>
    </font>
    <font>
      <b/>
      <u/>
      <sz val="10"/>
      <name val="Arial"/>
      <family val="2"/>
      <charset val="162"/>
    </font>
    <font>
      <b/>
      <sz val="8"/>
      <color indexed="8"/>
      <name val="Times New Roman"/>
      <family val="1"/>
      <charset val="162"/>
    </font>
    <font>
      <sz val="15"/>
      <color indexed="8"/>
      <name val="Calibri"/>
      <family val="2"/>
      <charset val="162"/>
    </font>
    <font>
      <b/>
      <sz val="15"/>
      <color indexed="10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10"/>
      <color indexed="10"/>
      <name val="Calibri"/>
      <family val="2"/>
      <charset val="162"/>
    </font>
    <font>
      <b/>
      <sz val="12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5"/>
      <color theme="1"/>
      <name val="Times New Roman"/>
      <family val="1"/>
      <charset val="162"/>
    </font>
    <font>
      <b/>
      <sz val="10"/>
      <color theme="0"/>
      <name val="Arial"/>
      <family val="2"/>
      <charset val="162"/>
    </font>
    <font>
      <sz val="15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5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rgb="FFFF0000"/>
      <name val="Arial Unicode MS"/>
      <family val="2"/>
      <charset val="162"/>
    </font>
    <font>
      <sz val="10"/>
      <color rgb="FFFF0000"/>
      <name val="Arial Unicode MS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9.5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4"/>
      <color theme="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C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darkGrid">
        <fgColor theme="0"/>
        <bgColor theme="1"/>
      </patternFill>
    </fill>
    <fill>
      <patternFill patternType="solid">
        <fgColor rgb="FF00B050"/>
        <bgColor indexed="64"/>
      </patternFill>
    </fill>
  </fills>
  <borders count="1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ck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medium">
        <color indexed="64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64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theme="0"/>
      </right>
      <top style="medium">
        <color indexed="8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theme="0"/>
      </bottom>
      <diagonal/>
    </border>
    <border>
      <left style="medium">
        <color theme="0"/>
      </left>
      <right style="thick">
        <color indexed="8"/>
      </right>
      <top style="medium">
        <color indexed="8"/>
      </top>
      <bottom style="medium">
        <color theme="0"/>
      </bottom>
      <diagonal/>
    </border>
    <border>
      <left style="medium">
        <color indexed="8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indexed="8"/>
      </right>
      <top style="medium">
        <color theme="0"/>
      </top>
      <bottom style="medium">
        <color theme="0"/>
      </bottom>
      <diagonal/>
    </border>
    <border>
      <left style="medium">
        <color indexed="8"/>
      </left>
      <right style="medium">
        <color theme="0"/>
      </right>
      <top style="medium">
        <color theme="0"/>
      </top>
      <bottom style="medium">
        <color indexed="8"/>
      </bottom>
      <diagonal/>
    </border>
    <border>
      <left/>
      <right style="medium">
        <color theme="0"/>
      </right>
      <top style="medium">
        <color indexed="8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8"/>
      </bottom>
      <diagonal/>
    </border>
    <border>
      <left style="medium">
        <color theme="0"/>
      </left>
      <right style="thick">
        <color indexed="8"/>
      </right>
      <top style="medium">
        <color theme="0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164" fontId="13" fillId="0" borderId="0" applyFont="0" applyFill="0" applyBorder="0" applyAlignment="0" applyProtection="0"/>
    <xf numFmtId="0" fontId="7" fillId="0" borderId="0"/>
    <xf numFmtId="0" fontId="11" fillId="0" borderId="0"/>
    <xf numFmtId="0" fontId="13" fillId="0" borderId="0"/>
    <xf numFmtId="43" fontId="49" fillId="0" borderId="0" applyFont="0" applyFill="0" applyBorder="0" applyAlignment="0" applyProtection="0"/>
  </cellStyleXfs>
  <cellXfs count="57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2"/>
    <xf numFmtId="0" fontId="7" fillId="0" borderId="0" xfId="2" applyProtection="1">
      <protection hidden="1"/>
    </xf>
    <xf numFmtId="0" fontId="0" fillId="0" borderId="0" xfId="0" applyProtection="1">
      <protection hidden="1"/>
    </xf>
    <xf numFmtId="0" fontId="13" fillId="0" borderId="0" xfId="4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 readingOrder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 readingOrder="1"/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3" fillId="0" borderId="0" xfId="4" applyProtection="1">
      <protection hidden="1"/>
    </xf>
    <xf numFmtId="0" fontId="6" fillId="4" borderId="3" xfId="4" applyFont="1" applyFill="1" applyBorder="1" applyAlignment="1" applyProtection="1">
      <alignment horizontal="left"/>
      <protection hidden="1"/>
    </xf>
    <xf numFmtId="0" fontId="6" fillId="4" borderId="4" xfId="4" applyFont="1" applyFill="1" applyBorder="1" applyAlignment="1" applyProtection="1">
      <alignment horizontal="left"/>
      <protection hidden="1"/>
    </xf>
    <xf numFmtId="0" fontId="6" fillId="4" borderId="5" xfId="4" applyFont="1" applyFill="1" applyBorder="1" applyAlignment="1" applyProtection="1">
      <alignment horizontal="left"/>
      <protection hidden="1"/>
    </xf>
    <xf numFmtId="2" fontId="14" fillId="0" borderId="6" xfId="4" applyNumberFormat="1" applyFont="1" applyBorder="1" applyProtection="1">
      <protection hidden="1"/>
    </xf>
    <xf numFmtId="2" fontId="14" fillId="0" borderId="6" xfId="4" applyNumberFormat="1" applyFont="1" applyBorder="1" applyAlignment="1" applyProtection="1">
      <alignment horizontal="center"/>
      <protection hidden="1"/>
    </xf>
    <xf numFmtId="0" fontId="14" fillId="0" borderId="7" xfId="4" applyFont="1" applyBorder="1" applyAlignment="1" applyProtection="1">
      <alignment horizontal="center"/>
      <protection hidden="1"/>
    </xf>
    <xf numFmtId="0" fontId="14" fillId="0" borderId="8" xfId="4" applyFont="1" applyBorder="1" applyAlignment="1" applyProtection="1">
      <alignment horizontal="center"/>
      <protection hidden="1"/>
    </xf>
    <xf numFmtId="0" fontId="14" fillId="0" borderId="9" xfId="4" applyFont="1" applyBorder="1" applyAlignment="1" applyProtection="1">
      <alignment horizontal="center"/>
      <protection hidden="1"/>
    </xf>
    <xf numFmtId="0" fontId="14" fillId="0" borderId="10" xfId="4" applyFont="1" applyBorder="1" applyAlignment="1" applyProtection="1">
      <alignment horizontal="center" wrapText="1"/>
      <protection hidden="1"/>
    </xf>
    <xf numFmtId="4" fontId="14" fillId="0" borderId="11" xfId="4" applyNumberFormat="1" applyFont="1" applyBorder="1" applyAlignment="1" applyProtection="1">
      <alignment horizontal="center" vertical="center" wrapText="1"/>
      <protection hidden="1"/>
    </xf>
    <xf numFmtId="2" fontId="14" fillId="0" borderId="12" xfId="4" applyNumberFormat="1" applyFont="1" applyBorder="1" applyAlignment="1" applyProtection="1">
      <alignment horizontal="center" vertical="center"/>
      <protection hidden="1"/>
    </xf>
    <xf numFmtId="2" fontId="14" fillId="0" borderId="12" xfId="4" applyNumberFormat="1" applyFont="1" applyBorder="1" applyAlignment="1" applyProtection="1">
      <alignment horizontal="center" vertical="center" wrapText="1"/>
      <protection hidden="1"/>
    </xf>
    <xf numFmtId="2" fontId="15" fillId="0" borderId="13" xfId="4" applyNumberFormat="1" applyFont="1" applyBorder="1" applyAlignment="1" applyProtection="1">
      <alignment horizontal="center" vertical="center" wrapText="1"/>
      <protection hidden="1"/>
    </xf>
    <xf numFmtId="3" fontId="15" fillId="4" borderId="10" xfId="4" applyNumberFormat="1" applyFont="1" applyFill="1" applyBorder="1" applyAlignment="1" applyProtection="1">
      <alignment horizontal="center" vertical="center"/>
      <protection hidden="1"/>
    </xf>
    <xf numFmtId="3" fontId="15" fillId="0" borderId="11" xfId="4" applyNumberFormat="1" applyFont="1" applyBorder="1" applyAlignment="1" applyProtection="1">
      <alignment horizontal="center" vertical="center"/>
      <protection hidden="1"/>
    </xf>
    <xf numFmtId="4" fontId="5" fillId="5" borderId="14" xfId="4" applyNumberFormat="1" applyFont="1" applyFill="1" applyBorder="1" applyAlignment="1" applyProtection="1">
      <alignment horizontal="right"/>
      <protection hidden="1"/>
    </xf>
    <xf numFmtId="4" fontId="5" fillId="4" borderId="6" xfId="4" applyNumberFormat="1" applyFont="1" applyFill="1" applyBorder="1" applyAlignment="1" applyProtection="1">
      <alignment horizontal="right"/>
      <protection hidden="1"/>
    </xf>
    <xf numFmtId="3" fontId="15" fillId="0" borderId="15" xfId="4" applyNumberFormat="1" applyFont="1" applyBorder="1" applyAlignment="1" applyProtection="1">
      <alignment vertical="center"/>
      <protection hidden="1"/>
    </xf>
    <xf numFmtId="4" fontId="13" fillId="0" borderId="0" xfId="4" applyNumberFormat="1" applyProtection="1">
      <protection hidden="1"/>
    </xf>
    <xf numFmtId="0" fontId="15" fillId="6" borderId="3" xfId="4" applyFont="1" applyFill="1" applyBorder="1" applyAlignment="1" applyProtection="1">
      <alignment vertical="center" wrapText="1"/>
      <protection hidden="1"/>
    </xf>
    <xf numFmtId="0" fontId="15" fillId="6" borderId="4" xfId="4" applyFont="1" applyFill="1" applyBorder="1" applyAlignment="1" applyProtection="1">
      <alignment vertical="center" wrapText="1"/>
      <protection hidden="1"/>
    </xf>
    <xf numFmtId="0" fontId="15" fillId="6" borderId="5" xfId="4" applyFont="1" applyFill="1" applyBorder="1" applyAlignment="1" applyProtection="1">
      <alignment vertical="center" wrapText="1"/>
      <protection hidden="1"/>
    </xf>
    <xf numFmtId="4" fontId="5" fillId="5" borderId="6" xfId="1" applyNumberFormat="1" applyFont="1" applyFill="1" applyBorder="1" applyAlignment="1" applyProtection="1">
      <alignment horizontal="right"/>
      <protection hidden="1"/>
    </xf>
    <xf numFmtId="4" fontId="5" fillId="4" borderId="6" xfId="1" applyNumberFormat="1" applyFont="1" applyFill="1" applyBorder="1" applyAlignment="1" applyProtection="1">
      <alignment horizontal="right"/>
      <protection hidden="1"/>
    </xf>
    <xf numFmtId="3" fontId="15" fillId="0" borderId="16" xfId="4" applyNumberFormat="1" applyFont="1" applyBorder="1" applyAlignment="1" applyProtection="1">
      <alignment vertical="center"/>
      <protection hidden="1"/>
    </xf>
    <xf numFmtId="1" fontId="5" fillId="4" borderId="8" xfId="1" applyNumberFormat="1" applyFont="1" applyFill="1" applyBorder="1" applyAlignment="1" applyProtection="1">
      <alignment horizontal="center"/>
      <protection hidden="1"/>
    </xf>
    <xf numFmtId="3" fontId="15" fillId="0" borderId="9" xfId="4" applyNumberFormat="1" applyFont="1" applyBorder="1" applyAlignment="1" applyProtection="1">
      <alignment horizontal="center" vertical="center"/>
      <protection hidden="1"/>
    </xf>
    <xf numFmtId="4" fontId="5" fillId="0" borderId="17" xfId="4" applyNumberFormat="1" applyFont="1" applyBorder="1" applyAlignment="1" applyProtection="1">
      <alignment horizontal="center"/>
      <protection hidden="1"/>
    </xf>
    <xf numFmtId="3" fontId="13" fillId="0" borderId="17" xfId="4" applyNumberFormat="1" applyBorder="1" applyAlignment="1" applyProtection="1">
      <alignment horizontal="center" vertical="center"/>
      <protection hidden="1"/>
    </xf>
    <xf numFmtId="3" fontId="13" fillId="0" borderId="15" xfId="4" applyNumberFormat="1" applyBorder="1" applyAlignment="1" applyProtection="1">
      <alignment horizontal="center" vertical="center"/>
      <protection hidden="1"/>
    </xf>
    <xf numFmtId="170" fontId="13" fillId="6" borderId="18" xfId="4" applyNumberFormat="1" applyFill="1" applyBorder="1" applyAlignment="1" applyProtection="1">
      <alignment vertical="center" wrapText="1"/>
      <protection hidden="1"/>
    </xf>
    <xf numFmtId="170" fontId="15" fillId="6" borderId="19" xfId="4" applyNumberFormat="1" applyFont="1" applyFill="1" applyBorder="1" applyAlignment="1" applyProtection="1">
      <alignment vertical="center" wrapText="1"/>
      <protection hidden="1"/>
    </xf>
    <xf numFmtId="170" fontId="13" fillId="0" borderId="20" xfId="4" applyNumberFormat="1" applyBorder="1" applyProtection="1">
      <protection hidden="1"/>
    </xf>
    <xf numFmtId="4" fontId="5" fillId="4" borderId="20" xfId="1" applyNumberFormat="1" applyFont="1" applyFill="1" applyBorder="1" applyAlignment="1" applyProtection="1">
      <alignment horizontal="right"/>
      <protection hidden="1"/>
    </xf>
    <xf numFmtId="4" fontId="5" fillId="4" borderId="10" xfId="1" applyNumberFormat="1" applyFont="1" applyFill="1" applyBorder="1" applyAlignment="1" applyProtection="1">
      <alignment horizontal="right"/>
      <protection hidden="1"/>
    </xf>
    <xf numFmtId="4" fontId="5" fillId="4" borderId="11" xfId="1" applyNumberFormat="1" applyFont="1" applyFill="1" applyBorder="1" applyAlignment="1" applyProtection="1">
      <alignment horizontal="right"/>
      <protection hidden="1"/>
    </xf>
    <xf numFmtId="170" fontId="13" fillId="6" borderId="21" xfId="4" applyNumberFormat="1" applyFill="1" applyBorder="1" applyAlignment="1" applyProtection="1">
      <alignment vertical="center" wrapText="1"/>
      <protection hidden="1"/>
    </xf>
    <xf numFmtId="170" fontId="15" fillId="6" borderId="4" xfId="4" applyNumberFormat="1" applyFont="1" applyFill="1" applyBorder="1" applyAlignment="1" applyProtection="1">
      <alignment vertical="center" wrapText="1"/>
      <protection hidden="1"/>
    </xf>
    <xf numFmtId="170" fontId="13" fillId="0" borderId="5" xfId="4" applyNumberFormat="1" applyBorder="1" applyProtection="1">
      <protection hidden="1"/>
    </xf>
    <xf numFmtId="4" fontId="5" fillId="4" borderId="5" xfId="1" applyNumberFormat="1" applyFont="1" applyFill="1" applyBorder="1" applyAlignment="1" applyProtection="1">
      <alignment horizontal="right"/>
      <protection hidden="1"/>
    </xf>
    <xf numFmtId="4" fontId="5" fillId="4" borderId="7" xfId="1" applyNumberFormat="1" applyFont="1" applyFill="1" applyBorder="1" applyAlignment="1" applyProtection="1">
      <alignment horizontal="right"/>
      <protection hidden="1"/>
    </xf>
    <xf numFmtId="170" fontId="13" fillId="4" borderId="21" xfId="4" applyNumberFormat="1" applyFill="1" applyBorder="1" applyAlignment="1" applyProtection="1">
      <alignment vertical="center" wrapText="1"/>
      <protection hidden="1"/>
    </xf>
    <xf numFmtId="170" fontId="15" fillId="4" borderId="4" xfId="4" applyNumberFormat="1" applyFont="1" applyFill="1" applyBorder="1" applyAlignment="1" applyProtection="1">
      <alignment vertical="center" wrapText="1"/>
      <protection hidden="1"/>
    </xf>
    <xf numFmtId="170" fontId="13" fillId="4" borderId="5" xfId="4" applyNumberFormat="1" applyFill="1" applyBorder="1" applyProtection="1">
      <protection hidden="1"/>
    </xf>
    <xf numFmtId="4" fontId="5" fillId="4" borderId="22" xfId="1" applyNumberFormat="1" applyFont="1" applyFill="1" applyBorder="1" applyAlignment="1" applyProtection="1">
      <alignment horizontal="right"/>
      <protection hidden="1"/>
    </xf>
    <xf numFmtId="4" fontId="5" fillId="4" borderId="14" xfId="1" applyNumberFormat="1" applyFont="1" applyFill="1" applyBorder="1" applyAlignment="1" applyProtection="1">
      <alignment horizontal="right"/>
      <protection hidden="1"/>
    </xf>
    <xf numFmtId="4" fontId="5" fillId="4" borderId="16" xfId="1" applyNumberFormat="1" applyFont="1" applyFill="1" applyBorder="1" applyAlignment="1" applyProtection="1">
      <alignment horizontal="right"/>
      <protection hidden="1"/>
    </xf>
    <xf numFmtId="170" fontId="13" fillId="4" borderId="23" xfId="4" applyNumberFormat="1" applyFill="1" applyBorder="1" applyAlignment="1" applyProtection="1">
      <alignment vertical="center" wrapText="1"/>
      <protection hidden="1"/>
    </xf>
    <xf numFmtId="170" fontId="15" fillId="4" borderId="24" xfId="4" applyNumberFormat="1" applyFont="1" applyFill="1" applyBorder="1" applyAlignment="1" applyProtection="1">
      <alignment vertical="center" wrapText="1"/>
      <protection hidden="1"/>
    </xf>
    <xf numFmtId="170" fontId="13" fillId="4" borderId="22" xfId="4" applyNumberFormat="1" applyFill="1" applyBorder="1" applyProtection="1">
      <protection hidden="1"/>
    </xf>
    <xf numFmtId="4" fontId="5" fillId="4" borderId="25" xfId="1" applyNumberFormat="1" applyFont="1" applyFill="1" applyBorder="1" applyAlignment="1" applyProtection="1">
      <alignment horizontal="right"/>
      <protection hidden="1"/>
    </xf>
    <xf numFmtId="4" fontId="5" fillId="4" borderId="26" xfId="1" applyNumberFormat="1" applyFont="1" applyFill="1" applyBorder="1" applyAlignment="1" applyProtection="1">
      <alignment horizontal="right"/>
      <protection hidden="1"/>
    </xf>
    <xf numFmtId="4" fontId="5" fillId="4" borderId="27" xfId="1" applyNumberFormat="1" applyFont="1" applyFill="1" applyBorder="1" applyAlignment="1" applyProtection="1">
      <alignment horizontal="right"/>
      <protection hidden="1"/>
    </xf>
    <xf numFmtId="0" fontId="5" fillId="0" borderId="21" xfId="4" applyFont="1" applyBorder="1" applyAlignment="1" applyProtection="1">
      <alignment horizontal="center"/>
      <protection hidden="1"/>
    </xf>
    <xf numFmtId="0" fontId="5" fillId="0" borderId="5" xfId="4" applyFont="1" applyBorder="1" applyProtection="1">
      <protection hidden="1"/>
    </xf>
    <xf numFmtId="0" fontId="4" fillId="7" borderId="6" xfId="4" applyFont="1" applyFill="1" applyBorder="1" applyAlignment="1" applyProtection="1">
      <alignment vertical="center"/>
      <protection hidden="1"/>
    </xf>
    <xf numFmtId="168" fontId="4" fillId="5" borderId="6" xfId="4" applyNumberFormat="1" applyFont="1" applyFill="1" applyBorder="1" applyProtection="1">
      <protection hidden="1"/>
    </xf>
    <xf numFmtId="49" fontId="4" fillId="5" borderId="6" xfId="4" applyNumberFormat="1" applyFont="1" applyFill="1" applyBorder="1" applyProtection="1">
      <protection hidden="1"/>
    </xf>
    <xf numFmtId="4" fontId="5" fillId="5" borderId="6" xfId="4" applyNumberFormat="1" applyFont="1" applyFill="1" applyBorder="1" applyAlignment="1" applyProtection="1">
      <alignment horizontal="right"/>
      <protection hidden="1"/>
    </xf>
    <xf numFmtId="0" fontId="5" fillId="7" borderId="6" xfId="4" applyFont="1" applyFill="1" applyBorder="1" applyProtection="1">
      <protection hidden="1"/>
    </xf>
    <xf numFmtId="0" fontId="13" fillId="7" borderId="6" xfId="4" applyFill="1" applyBorder="1" applyProtection="1">
      <protection hidden="1"/>
    </xf>
    <xf numFmtId="4" fontId="5" fillId="0" borderId="6" xfId="4" applyNumberFormat="1" applyFont="1" applyBorder="1" applyAlignment="1" applyProtection="1">
      <alignment horizontal="right"/>
      <protection hidden="1"/>
    </xf>
    <xf numFmtId="0" fontId="1" fillId="0" borderId="0" xfId="0" applyFont="1" applyAlignment="1">
      <alignment horizontal="left" vertical="top" wrapText="1"/>
    </xf>
    <xf numFmtId="4" fontId="7" fillId="8" borderId="28" xfId="2" applyNumberFormat="1" applyFill="1" applyBorder="1" applyProtection="1">
      <protection hidden="1"/>
    </xf>
    <xf numFmtId="0" fontId="7" fillId="8" borderId="28" xfId="2" applyFill="1" applyBorder="1" applyProtection="1">
      <protection hidden="1"/>
    </xf>
    <xf numFmtId="0" fontId="7" fillId="9" borderId="29" xfId="2" applyFill="1" applyBorder="1" applyProtection="1">
      <protection hidden="1"/>
    </xf>
    <xf numFmtId="0" fontId="0" fillId="9" borderId="29" xfId="0" applyFill="1" applyBorder="1" applyProtection="1">
      <protection hidden="1"/>
    </xf>
    <xf numFmtId="0" fontId="7" fillId="10" borderId="28" xfId="2" applyFill="1" applyBorder="1" applyProtection="1">
      <protection hidden="1"/>
    </xf>
    <xf numFmtId="167" fontId="7" fillId="10" borderId="28" xfId="2" applyNumberFormat="1" applyFill="1" applyBorder="1" applyProtection="1">
      <protection hidden="1"/>
    </xf>
    <xf numFmtId="0" fontId="7" fillId="10" borderId="29" xfId="2" applyFill="1" applyBorder="1" applyProtection="1">
      <protection hidden="1"/>
    </xf>
    <xf numFmtId="0" fontId="0" fillId="5" borderId="30" xfId="0" applyFill="1" applyBorder="1"/>
    <xf numFmtId="0" fontId="0" fillId="11" borderId="31" xfId="0" applyFill="1" applyBorder="1"/>
    <xf numFmtId="0" fontId="0" fillId="11" borderId="30" xfId="0" applyFill="1" applyBorder="1"/>
    <xf numFmtId="0" fontId="10" fillId="12" borderId="32" xfId="2" applyFont="1" applyFill="1" applyBorder="1" applyAlignment="1" applyProtection="1">
      <alignment horizontal="left" vertical="center" wrapText="1"/>
      <protection hidden="1"/>
    </xf>
    <xf numFmtId="4" fontId="9" fillId="12" borderId="28" xfId="2" applyNumberFormat="1" applyFont="1" applyFill="1" applyBorder="1" applyAlignment="1" applyProtection="1">
      <alignment horizontal="right" vertical="center" wrapText="1"/>
      <protection hidden="1"/>
    </xf>
    <xf numFmtId="4" fontId="9" fillId="12" borderId="33" xfId="2" applyNumberFormat="1" applyFont="1" applyFill="1" applyBorder="1" applyAlignment="1" applyProtection="1">
      <alignment horizontal="right" vertical="center" wrapText="1"/>
      <protection hidden="1"/>
    </xf>
    <xf numFmtId="0" fontId="0" fillId="5" borderId="31" xfId="0" applyFill="1" applyBorder="1"/>
    <xf numFmtId="0" fontId="10" fillId="12" borderId="34" xfId="2" applyFont="1" applyFill="1" applyBorder="1" applyAlignment="1" applyProtection="1">
      <alignment horizontal="left" vertical="center" wrapText="1"/>
      <protection hidden="1"/>
    </xf>
    <xf numFmtId="4" fontId="9" fillId="12" borderId="35" xfId="2" applyNumberFormat="1" applyFont="1" applyFill="1" applyBorder="1" applyAlignment="1" applyProtection="1">
      <alignment horizontal="right" vertical="center" wrapText="1"/>
      <protection hidden="1"/>
    </xf>
    <xf numFmtId="4" fontId="9" fillId="12" borderId="36" xfId="2" applyNumberFormat="1" applyFont="1" applyFill="1" applyBorder="1" applyAlignment="1" applyProtection="1">
      <alignment horizontal="right" vertical="center" wrapText="1"/>
      <protection hidden="1"/>
    </xf>
    <xf numFmtId="0" fontId="7" fillId="13" borderId="37" xfId="2" applyFill="1" applyBorder="1" applyProtection="1">
      <protection hidden="1"/>
    </xf>
    <xf numFmtId="0" fontId="7" fillId="13" borderId="28" xfId="2" applyFill="1" applyBorder="1" applyProtection="1">
      <protection hidden="1"/>
    </xf>
    <xf numFmtId="0" fontId="7" fillId="10" borderId="38" xfId="2" applyFill="1" applyBorder="1" applyAlignment="1" applyProtection="1">
      <alignment horizontal="right"/>
      <protection hidden="1"/>
    </xf>
    <xf numFmtId="0" fontId="7" fillId="10" borderId="38" xfId="2" applyFill="1" applyBorder="1" applyProtection="1">
      <protection hidden="1"/>
    </xf>
    <xf numFmtId="0" fontId="11" fillId="10" borderId="30" xfId="2" applyFont="1" applyFill="1" applyBorder="1" applyProtection="1">
      <protection hidden="1"/>
    </xf>
    <xf numFmtId="0" fontId="7" fillId="13" borderId="31" xfId="2" applyFill="1" applyBorder="1" applyProtection="1">
      <protection hidden="1"/>
    </xf>
    <xf numFmtId="0" fontId="7" fillId="13" borderId="38" xfId="2" applyFill="1" applyBorder="1" applyProtection="1">
      <protection hidden="1"/>
    </xf>
    <xf numFmtId="0" fontId="32" fillId="14" borderId="144" xfId="2" applyFont="1" applyFill="1" applyBorder="1" applyAlignment="1" applyProtection="1">
      <alignment horizontal="left" vertical="center" wrapText="1"/>
      <protection hidden="1"/>
    </xf>
    <xf numFmtId="4" fontId="32" fillId="14" borderId="145" xfId="2" applyNumberFormat="1" applyFont="1" applyFill="1" applyBorder="1" applyAlignment="1" applyProtection="1">
      <alignment horizontal="right" vertical="center" wrapText="1"/>
      <protection hidden="1"/>
    </xf>
    <xf numFmtId="4" fontId="32" fillId="14" borderId="146" xfId="2" applyNumberFormat="1" applyFont="1" applyFill="1" applyBorder="1" applyAlignment="1" applyProtection="1">
      <alignment horizontal="right" vertical="center" wrapText="1"/>
      <protection hidden="1"/>
    </xf>
    <xf numFmtId="0" fontId="32" fillId="14" borderId="147" xfId="2" applyFont="1" applyFill="1" applyBorder="1" applyAlignment="1" applyProtection="1">
      <alignment horizontal="left" vertical="center" wrapText="1"/>
      <protection hidden="1"/>
    </xf>
    <xf numFmtId="4" fontId="32" fillId="14" borderId="148" xfId="2" applyNumberFormat="1" applyFont="1" applyFill="1" applyBorder="1" applyAlignment="1">
      <alignment horizontal="right" vertical="center" wrapText="1"/>
    </xf>
    <xf numFmtId="4" fontId="32" fillId="14" borderId="148" xfId="2" applyNumberFormat="1" applyFont="1" applyFill="1" applyBorder="1" applyAlignment="1" applyProtection="1">
      <alignment horizontal="right" vertical="center" wrapText="1"/>
      <protection hidden="1"/>
    </xf>
    <xf numFmtId="4" fontId="32" fillId="14" borderId="149" xfId="2" applyNumberFormat="1" applyFont="1" applyFill="1" applyBorder="1" applyAlignment="1" applyProtection="1">
      <alignment horizontal="right" vertical="center" wrapText="1"/>
      <protection hidden="1"/>
    </xf>
    <xf numFmtId="0" fontId="32" fillId="14" borderId="150" xfId="2" applyFont="1" applyFill="1" applyBorder="1" applyAlignment="1" applyProtection="1">
      <alignment horizontal="left" vertical="center" wrapText="1"/>
      <protection hidden="1"/>
    </xf>
    <xf numFmtId="0" fontId="7" fillId="10" borderId="39" xfId="2" applyFill="1" applyBorder="1" applyProtection="1">
      <protection hidden="1"/>
    </xf>
    <xf numFmtId="0" fontId="7" fillId="10" borderId="40" xfId="2" applyFill="1" applyBorder="1" applyProtection="1">
      <protection hidden="1"/>
    </xf>
    <xf numFmtId="167" fontId="7" fillId="10" borderId="40" xfId="2" applyNumberFormat="1" applyFill="1" applyBorder="1" applyProtection="1">
      <protection hidden="1"/>
    </xf>
    <xf numFmtId="4" fontId="13" fillId="0" borderId="0" xfId="4" applyNumberFormat="1"/>
    <xf numFmtId="4" fontId="7" fillId="0" borderId="0" xfId="2" applyNumberFormat="1"/>
    <xf numFmtId="2" fontId="7" fillId="0" borderId="0" xfId="2" applyNumberFormat="1"/>
    <xf numFmtId="0" fontId="7" fillId="10" borderId="41" xfId="2" applyFill="1" applyBorder="1" applyProtection="1">
      <protection hidden="1"/>
    </xf>
    <xf numFmtId="0" fontId="7" fillId="10" borderId="42" xfId="2" applyFill="1" applyBorder="1" applyProtection="1">
      <protection hidden="1"/>
    </xf>
    <xf numFmtId="0" fontId="11" fillId="10" borderId="43" xfId="2" applyFont="1" applyFill="1" applyBorder="1" applyProtection="1">
      <protection hidden="1"/>
    </xf>
    <xf numFmtId="0" fontId="7" fillId="9" borderId="43" xfId="2" applyFill="1" applyBorder="1" applyProtection="1">
      <protection hidden="1"/>
    </xf>
    <xf numFmtId="0" fontId="7" fillId="13" borderId="44" xfId="2" applyFill="1" applyBorder="1" applyProtection="1">
      <protection hidden="1"/>
    </xf>
    <xf numFmtId="0" fontId="7" fillId="13" borderId="42" xfId="2" applyFill="1" applyBorder="1" applyProtection="1">
      <protection hidden="1"/>
    </xf>
    <xf numFmtId="4" fontId="32" fillId="14" borderId="145" xfId="2" applyNumberFormat="1" applyFont="1" applyFill="1" applyBorder="1" applyAlignment="1">
      <alignment horizontal="right" vertical="center" wrapText="1"/>
    </xf>
    <xf numFmtId="0" fontId="22" fillId="0" borderId="151" xfId="2" applyFont="1" applyBorder="1" applyAlignment="1" applyProtection="1">
      <alignment horizontal="left" vertical="center" wrapText="1"/>
      <protection hidden="1"/>
    </xf>
    <xf numFmtId="0" fontId="33" fillId="0" borderId="0" xfId="0" applyFont="1"/>
    <xf numFmtId="0" fontId="33" fillId="0" borderId="6" xfId="0" applyFont="1" applyBorder="1"/>
    <xf numFmtId="9" fontId="33" fillId="0" borderId="6" xfId="0" applyNumberFormat="1" applyFont="1" applyBorder="1" applyAlignment="1">
      <alignment horizontal="right"/>
    </xf>
    <xf numFmtId="4" fontId="33" fillId="0" borderId="6" xfId="0" applyNumberFormat="1" applyFont="1" applyBorder="1"/>
    <xf numFmtId="14" fontId="33" fillId="0" borderId="6" xfId="0" applyNumberFormat="1" applyFont="1" applyBorder="1" applyProtection="1">
      <protection locked="0"/>
    </xf>
    <xf numFmtId="0" fontId="29" fillId="0" borderId="0" xfId="0" applyFont="1"/>
    <xf numFmtId="0" fontId="34" fillId="0" borderId="45" xfId="0" applyFont="1" applyBorder="1" applyAlignment="1">
      <alignment vertical="top" wrapText="1"/>
    </xf>
    <xf numFmtId="0" fontId="34" fillId="0" borderId="46" xfId="0" applyFont="1" applyBorder="1" applyAlignment="1">
      <alignment vertical="top" wrapText="1"/>
    </xf>
    <xf numFmtId="0" fontId="34" fillId="0" borderId="0" xfId="0" applyFont="1"/>
    <xf numFmtId="0" fontId="34" fillId="0" borderId="47" xfId="0" applyFont="1" applyBorder="1" applyAlignment="1">
      <alignment horizontal="left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4" fontId="34" fillId="0" borderId="8" xfId="0" applyNumberFormat="1" applyFont="1" applyBorder="1" applyAlignment="1">
      <alignment horizontal="right" vertical="top" wrapText="1"/>
    </xf>
    <xf numFmtId="4" fontId="34" fillId="0" borderId="9" xfId="0" applyNumberFormat="1" applyFont="1" applyBorder="1" applyAlignment="1">
      <alignment horizontal="right" vertical="top" wrapText="1"/>
    </xf>
    <xf numFmtId="4" fontId="34" fillId="0" borderId="6" xfId="0" applyNumberFormat="1" applyFont="1" applyBorder="1" applyAlignment="1">
      <alignment horizontal="right" vertical="top" wrapText="1"/>
    </xf>
    <xf numFmtId="3" fontId="36" fillId="0" borderId="11" xfId="0" applyNumberFormat="1" applyFont="1" applyBorder="1" applyAlignment="1">
      <alignment horizontal="right" wrapText="1"/>
    </xf>
    <xf numFmtId="3" fontId="36" fillId="0" borderId="7" xfId="0" applyNumberFormat="1" applyFont="1" applyBorder="1" applyAlignment="1">
      <alignment horizontal="right" wrapText="1"/>
    </xf>
    <xf numFmtId="3" fontId="36" fillId="0" borderId="9" xfId="0" applyNumberFormat="1" applyFont="1" applyBorder="1" applyAlignment="1">
      <alignment horizontal="right" wrapText="1"/>
    </xf>
    <xf numFmtId="4" fontId="36" fillId="0" borderId="48" xfId="0" applyNumberFormat="1" applyFont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4" fontId="36" fillId="0" borderId="7" xfId="0" applyNumberFormat="1" applyFont="1" applyBorder="1" applyAlignment="1">
      <alignment horizontal="right" wrapText="1"/>
    </xf>
    <xf numFmtId="0" fontId="34" fillId="0" borderId="49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50" xfId="0" applyFont="1" applyBorder="1" applyAlignment="1">
      <alignment vertical="top" wrapText="1"/>
    </xf>
    <xf numFmtId="4" fontId="36" fillId="0" borderId="6" xfId="0" applyNumberFormat="1" applyFont="1" applyBorder="1" applyAlignment="1">
      <alignment vertical="top" wrapText="1"/>
    </xf>
    <xf numFmtId="4" fontId="36" fillId="0" borderId="48" xfId="0" applyNumberFormat="1" applyFont="1" applyBorder="1" applyAlignment="1">
      <alignment vertical="top" wrapText="1"/>
    </xf>
    <xf numFmtId="4" fontId="36" fillId="0" borderId="50" xfId="0" applyNumberFormat="1" applyFont="1" applyBorder="1" applyAlignment="1">
      <alignment vertical="top" wrapText="1"/>
    </xf>
    <xf numFmtId="0" fontId="34" fillId="0" borderId="24" xfId="0" applyFont="1" applyBorder="1"/>
    <xf numFmtId="0" fontId="30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7" fillId="15" borderId="0" xfId="2" applyFill="1" applyProtection="1">
      <protection hidden="1"/>
    </xf>
    <xf numFmtId="0" fontId="39" fillId="2" borderId="51" xfId="2" applyFont="1" applyFill="1" applyBorder="1" applyAlignment="1" applyProtection="1">
      <alignment vertical="center" wrapText="1"/>
      <protection locked="0"/>
    </xf>
    <xf numFmtId="0" fontId="39" fillId="2" borderId="52" xfId="2" applyFont="1" applyFill="1" applyBorder="1" applyAlignment="1" applyProtection="1">
      <alignment vertical="center" wrapText="1"/>
      <protection locked="0"/>
    </xf>
    <xf numFmtId="0" fontId="40" fillId="2" borderId="28" xfId="2" applyFont="1" applyFill="1" applyBorder="1" applyAlignment="1" applyProtection="1">
      <alignment vertical="center" wrapText="1"/>
      <protection locked="0"/>
    </xf>
    <xf numFmtId="0" fontId="40" fillId="2" borderId="53" xfId="2" applyFont="1" applyFill="1" applyBorder="1" applyAlignment="1" applyProtection="1">
      <alignment vertical="center" wrapText="1"/>
      <protection locked="0"/>
    </xf>
    <xf numFmtId="0" fontId="40" fillId="2" borderId="28" xfId="2" applyFont="1" applyFill="1" applyBorder="1" applyAlignment="1" applyProtection="1">
      <alignment horizontal="right" vertical="center" wrapText="1"/>
      <protection locked="0"/>
    </xf>
    <xf numFmtId="4" fontId="40" fillId="0" borderId="28" xfId="2" applyNumberFormat="1" applyFont="1" applyBorder="1" applyAlignment="1" applyProtection="1">
      <alignment horizontal="right" vertical="center" wrapText="1"/>
      <protection locked="0"/>
    </xf>
    <xf numFmtId="0" fontId="7" fillId="16" borderId="0" xfId="2" applyFill="1" applyProtection="1">
      <protection hidden="1"/>
    </xf>
    <xf numFmtId="0" fontId="40" fillId="0" borderId="28" xfId="2" applyFont="1" applyBorder="1" applyAlignment="1" applyProtection="1">
      <alignment horizontal="right" vertical="center" wrapText="1"/>
      <protection locked="0"/>
    </xf>
    <xf numFmtId="0" fontId="40" fillId="0" borderId="53" xfId="2" applyFont="1" applyBorder="1" applyAlignment="1" applyProtection="1">
      <alignment horizontal="left" vertical="center" wrapText="1"/>
      <protection locked="0"/>
    </xf>
    <xf numFmtId="0" fontId="31" fillId="0" borderId="0" xfId="0" applyFont="1" applyProtection="1">
      <protection locked="0"/>
    </xf>
    <xf numFmtId="4" fontId="9" fillId="4" borderId="53" xfId="2" applyNumberFormat="1" applyFont="1" applyFill="1" applyBorder="1" applyAlignment="1" applyProtection="1">
      <alignment horizontal="right" vertical="center" wrapText="1"/>
      <protection hidden="1"/>
    </xf>
    <xf numFmtId="0" fontId="10" fillId="12" borderId="54" xfId="2" applyFont="1" applyFill="1" applyBorder="1" applyAlignment="1" applyProtection="1">
      <alignment horizontal="left" vertical="center" wrapText="1"/>
      <protection hidden="1"/>
    </xf>
    <xf numFmtId="4" fontId="40" fillId="0" borderId="55" xfId="2" applyNumberFormat="1" applyFont="1" applyBorder="1" applyAlignment="1" applyProtection="1">
      <alignment horizontal="right" vertical="center" wrapText="1"/>
      <protection locked="0"/>
    </xf>
    <xf numFmtId="4" fontId="9" fillId="12" borderId="55" xfId="2" applyNumberFormat="1" applyFont="1" applyFill="1" applyBorder="1" applyAlignment="1" applyProtection="1">
      <alignment horizontal="right" vertical="center" wrapText="1"/>
      <protection hidden="1"/>
    </xf>
    <xf numFmtId="4" fontId="9" fillId="0" borderId="28" xfId="2" applyNumberFormat="1" applyFont="1" applyBorder="1" applyAlignment="1" applyProtection="1">
      <alignment horizontal="right" vertical="center" wrapText="1"/>
      <protection hidden="1"/>
    </xf>
    <xf numFmtId="0" fontId="8" fillId="3" borderId="56" xfId="2" applyFont="1" applyFill="1" applyBorder="1" applyAlignment="1" applyProtection="1">
      <alignment vertical="center" wrapText="1"/>
      <protection hidden="1"/>
    </xf>
    <xf numFmtId="0" fontId="8" fillId="3" borderId="57" xfId="2" applyFont="1" applyFill="1" applyBorder="1" applyAlignment="1" applyProtection="1">
      <alignment vertical="center" wrapText="1"/>
      <protection hidden="1"/>
    </xf>
    <xf numFmtId="0" fontId="39" fillId="0" borderId="58" xfId="2" applyFont="1" applyBorder="1" applyAlignment="1" applyProtection="1">
      <alignment vertical="center"/>
      <protection locked="0"/>
    </xf>
    <xf numFmtId="0" fontId="39" fillId="0" borderId="59" xfId="2" applyFont="1" applyBorder="1" applyAlignment="1" applyProtection="1">
      <alignment vertical="center"/>
      <protection locked="0"/>
    </xf>
    <xf numFmtId="0" fontId="8" fillId="3" borderId="59" xfId="2" applyFont="1" applyFill="1" applyBorder="1" applyAlignment="1" applyProtection="1">
      <alignment vertical="center"/>
      <protection hidden="1"/>
    </xf>
    <xf numFmtId="4" fontId="7" fillId="8" borderId="60" xfId="2" applyNumberFormat="1" applyFill="1" applyBorder="1" applyProtection="1">
      <protection hidden="1"/>
    </xf>
    <xf numFmtId="0" fontId="7" fillId="17" borderId="28" xfId="2" applyFill="1" applyBorder="1" applyAlignment="1" applyProtection="1">
      <alignment horizontal="center"/>
      <protection hidden="1"/>
    </xf>
    <xf numFmtId="0" fontId="7" fillId="17" borderId="33" xfId="2" applyFill="1" applyBorder="1" applyProtection="1">
      <protection hidden="1"/>
    </xf>
    <xf numFmtId="0" fontId="7" fillId="8" borderId="33" xfId="2" applyFill="1" applyBorder="1" applyAlignment="1" applyProtection="1">
      <alignment horizontal="center"/>
      <protection hidden="1"/>
    </xf>
    <xf numFmtId="0" fontId="7" fillId="8" borderId="33" xfId="2" applyFill="1" applyBorder="1" applyProtection="1">
      <protection hidden="1"/>
    </xf>
    <xf numFmtId="4" fontId="7" fillId="8" borderId="61" xfId="2" applyNumberFormat="1" applyFill="1" applyBorder="1" applyProtection="1">
      <protection hidden="1"/>
    </xf>
    <xf numFmtId="0" fontId="7" fillId="8" borderId="35" xfId="2" applyFill="1" applyBorder="1" applyProtection="1">
      <protection hidden="1"/>
    </xf>
    <xf numFmtId="0" fontId="7" fillId="8" borderId="36" xfId="2" applyFill="1" applyBorder="1" applyProtection="1">
      <protection hidden="1"/>
    </xf>
    <xf numFmtId="4" fontId="7" fillId="5" borderId="54" xfId="2" applyNumberFormat="1" applyFill="1" applyBorder="1" applyProtection="1">
      <protection hidden="1"/>
    </xf>
    <xf numFmtId="4" fontId="7" fillId="5" borderId="55" xfId="2" applyNumberFormat="1" applyFill="1" applyBorder="1" applyProtection="1">
      <protection hidden="1"/>
    </xf>
    <xf numFmtId="0" fontId="7" fillId="5" borderId="55" xfId="2" applyFill="1" applyBorder="1" applyProtection="1">
      <protection hidden="1"/>
    </xf>
    <xf numFmtId="0" fontId="7" fillId="5" borderId="62" xfId="2" applyFill="1" applyBorder="1" applyProtection="1">
      <protection hidden="1"/>
    </xf>
    <xf numFmtId="0" fontId="0" fillId="9" borderId="63" xfId="0" applyFill="1" applyBorder="1" applyAlignment="1" applyProtection="1">
      <alignment horizontal="center"/>
      <protection hidden="1"/>
    </xf>
    <xf numFmtId="0" fontId="0" fillId="9" borderId="60" xfId="0" applyFill="1" applyBorder="1" applyAlignment="1" applyProtection="1">
      <alignment horizontal="center"/>
      <protection hidden="1"/>
    </xf>
    <xf numFmtId="0" fontId="7" fillId="9" borderId="64" xfId="2" applyFill="1" applyBorder="1" applyAlignment="1" applyProtection="1">
      <alignment horizontal="center"/>
      <protection hidden="1"/>
    </xf>
    <xf numFmtId="0" fontId="7" fillId="9" borderId="65" xfId="2" applyFill="1" applyBorder="1" applyProtection="1">
      <protection hidden="1"/>
    </xf>
    <xf numFmtId="0" fontId="7" fillId="9" borderId="66" xfId="2" applyFill="1" applyBorder="1" applyProtection="1">
      <protection hidden="1"/>
    </xf>
    <xf numFmtId="0" fontId="7" fillId="9" borderId="67" xfId="2" applyFill="1" applyBorder="1" applyProtection="1">
      <protection hidden="1"/>
    </xf>
    <xf numFmtId="0" fontId="11" fillId="9" borderId="68" xfId="2" applyFont="1" applyFill="1" applyBorder="1" applyProtection="1">
      <protection hidden="1"/>
    </xf>
    <xf numFmtId="0" fontId="11" fillId="9" borderId="51" xfId="2" applyFont="1" applyFill="1" applyBorder="1" applyProtection="1">
      <protection hidden="1"/>
    </xf>
    <xf numFmtId="0" fontId="11" fillId="9" borderId="69" xfId="2" applyFont="1" applyFill="1" applyBorder="1" applyProtection="1">
      <protection hidden="1"/>
    </xf>
    <xf numFmtId="0" fontId="28" fillId="5" borderId="70" xfId="2" applyFont="1" applyFill="1" applyBorder="1" applyProtection="1">
      <protection hidden="1"/>
    </xf>
    <xf numFmtId="0" fontId="28" fillId="5" borderId="71" xfId="2" applyFont="1" applyFill="1" applyBorder="1" applyProtection="1">
      <protection hidden="1"/>
    </xf>
    <xf numFmtId="0" fontId="28" fillId="5" borderId="72" xfId="2" applyFont="1" applyFill="1" applyBorder="1" applyProtection="1">
      <protection hidden="1"/>
    </xf>
    <xf numFmtId="0" fontId="7" fillId="8" borderId="63" xfId="2" applyFill="1" applyBorder="1" applyProtection="1">
      <protection hidden="1"/>
    </xf>
    <xf numFmtId="0" fontId="7" fillId="8" borderId="37" xfId="2" applyFill="1" applyBorder="1" applyAlignment="1" applyProtection="1">
      <alignment horizontal="right"/>
      <protection hidden="1"/>
    </xf>
    <xf numFmtId="0" fontId="7" fillId="8" borderId="37" xfId="2" applyFill="1" applyBorder="1" applyProtection="1">
      <protection hidden="1"/>
    </xf>
    <xf numFmtId="0" fontId="7" fillId="8" borderId="60" xfId="2" applyFill="1" applyBorder="1" applyProtection="1">
      <protection hidden="1"/>
    </xf>
    <xf numFmtId="0" fontId="7" fillId="8" borderId="28" xfId="2" applyFill="1" applyBorder="1" applyAlignment="1" applyProtection="1">
      <alignment horizontal="right"/>
      <protection hidden="1"/>
    </xf>
    <xf numFmtId="4" fontId="9" fillId="8" borderId="28" xfId="2" applyNumberFormat="1" applyFont="1" applyFill="1" applyBorder="1" applyAlignment="1" applyProtection="1">
      <alignment horizontal="right" vertical="center"/>
      <protection hidden="1"/>
    </xf>
    <xf numFmtId="0" fontId="7" fillId="8" borderId="64" xfId="2" applyFill="1" applyBorder="1" applyProtection="1">
      <protection hidden="1"/>
    </xf>
    <xf numFmtId="4" fontId="9" fillId="8" borderId="29" xfId="2" applyNumberFormat="1" applyFont="1" applyFill="1" applyBorder="1" applyAlignment="1" applyProtection="1">
      <alignment horizontal="right" vertical="center"/>
      <protection hidden="1"/>
    </xf>
    <xf numFmtId="0" fontId="7" fillId="8" borderId="29" xfId="2" applyFill="1" applyBorder="1" applyProtection="1">
      <protection hidden="1"/>
    </xf>
    <xf numFmtId="4" fontId="9" fillId="4" borderId="62" xfId="2" applyNumberFormat="1" applyFont="1" applyFill="1" applyBorder="1" applyAlignment="1" applyProtection="1">
      <alignment horizontal="right" vertical="center" wrapText="1"/>
      <protection hidden="1"/>
    </xf>
    <xf numFmtId="0" fontId="39" fillId="2" borderId="68" xfId="2" applyFont="1" applyFill="1" applyBorder="1" applyAlignment="1" applyProtection="1">
      <alignment horizontal="center" vertical="center" wrapText="1"/>
      <protection locked="0"/>
    </xf>
    <xf numFmtId="0" fontId="28" fillId="8" borderId="73" xfId="2" applyFont="1" applyFill="1" applyBorder="1" applyProtection="1">
      <protection hidden="1"/>
    </xf>
    <xf numFmtId="0" fontId="28" fillId="8" borderId="66" xfId="2" applyFont="1" applyFill="1" applyBorder="1" applyProtection="1">
      <protection hidden="1"/>
    </xf>
    <xf numFmtId="0" fontId="28" fillId="8" borderId="74" xfId="2" applyFont="1" applyFill="1" applyBorder="1" applyProtection="1">
      <protection hidden="1"/>
    </xf>
    <xf numFmtId="0" fontId="21" fillId="15" borderId="28" xfId="2" applyFont="1" applyFill="1" applyBorder="1" applyAlignment="1" applyProtection="1">
      <alignment vertical="center" wrapText="1"/>
      <protection locked="0"/>
    </xf>
    <xf numFmtId="0" fontId="21" fillId="15" borderId="53" xfId="2" applyFont="1" applyFill="1" applyBorder="1" applyAlignment="1" applyProtection="1">
      <alignment vertical="center" wrapText="1"/>
      <protection locked="0"/>
    </xf>
    <xf numFmtId="0" fontId="0" fillId="5" borderId="75" xfId="0" applyFill="1" applyBorder="1" applyAlignment="1">
      <alignment vertical="center"/>
    </xf>
    <xf numFmtId="0" fontId="0" fillId="5" borderId="76" xfId="0" applyFill="1" applyBorder="1" applyAlignment="1">
      <alignment vertical="center"/>
    </xf>
    <xf numFmtId="0" fontId="0" fillId="5" borderId="77" xfId="0" applyFill="1" applyBorder="1" applyAlignment="1">
      <alignment vertical="center"/>
    </xf>
    <xf numFmtId="0" fontId="0" fillId="5" borderId="78" xfId="0" applyFill="1" applyBorder="1" applyAlignment="1">
      <alignment vertical="center"/>
    </xf>
    <xf numFmtId="0" fontId="0" fillId="5" borderId="79" xfId="0" applyFill="1" applyBorder="1" applyAlignment="1">
      <alignment vertical="center"/>
    </xf>
    <xf numFmtId="0" fontId="0" fillId="5" borderId="80" xfId="0" applyFill="1" applyBorder="1" applyAlignment="1">
      <alignment vertical="center"/>
    </xf>
    <xf numFmtId="0" fontId="0" fillId="11" borderId="75" xfId="0" applyFill="1" applyBorder="1" applyAlignment="1">
      <alignment vertical="center"/>
    </xf>
    <xf numFmtId="0" fontId="0" fillId="11" borderId="76" xfId="0" applyFill="1" applyBorder="1" applyAlignment="1">
      <alignment vertical="center"/>
    </xf>
    <xf numFmtId="0" fontId="0" fillId="11" borderId="77" xfId="0" applyFill="1" applyBorder="1" applyAlignment="1">
      <alignment vertical="center"/>
    </xf>
    <xf numFmtId="0" fontId="0" fillId="11" borderId="78" xfId="0" applyFill="1" applyBorder="1" applyAlignment="1">
      <alignment vertical="center"/>
    </xf>
    <xf numFmtId="0" fontId="0" fillId="11" borderId="79" xfId="0" applyFill="1" applyBorder="1" applyAlignment="1">
      <alignment vertical="center"/>
    </xf>
    <xf numFmtId="0" fontId="0" fillId="11" borderId="80" xfId="0" applyFill="1" applyBorder="1" applyAlignment="1">
      <alignment vertical="center"/>
    </xf>
    <xf numFmtId="0" fontId="7" fillId="10" borderId="81" xfId="2" applyFill="1" applyBorder="1" applyAlignment="1" applyProtection="1">
      <alignment vertical="center" wrapText="1"/>
      <protection hidden="1"/>
    </xf>
    <xf numFmtId="0" fontId="7" fillId="10" borderId="41" xfId="2" applyFill="1" applyBorder="1" applyAlignment="1" applyProtection="1">
      <alignment vertical="center" wrapText="1"/>
      <protection hidden="1"/>
    </xf>
    <xf numFmtId="4" fontId="32" fillId="18" borderId="148" xfId="2" applyNumberFormat="1" applyFont="1" applyFill="1" applyBorder="1" applyAlignment="1" applyProtection="1">
      <alignment horizontal="right" vertical="center" wrapText="1"/>
      <protection hidden="1"/>
    </xf>
    <xf numFmtId="0" fontId="40" fillId="2" borderId="53" xfId="2" applyFont="1" applyFill="1" applyBorder="1" applyAlignment="1" applyProtection="1">
      <alignment horizontal="left" vertical="center" wrapText="1"/>
      <protection locked="0"/>
    </xf>
    <xf numFmtId="4" fontId="40" fillId="0" borderId="35" xfId="2" applyNumberFormat="1" applyFont="1" applyBorder="1" applyAlignment="1" applyProtection="1">
      <alignment horizontal="right" vertical="center" wrapText="1"/>
      <protection locked="0"/>
    </xf>
    <xf numFmtId="0" fontId="22" fillId="0" borderId="0" xfId="2" applyFont="1" applyAlignment="1" applyProtection="1">
      <alignment horizontal="left" vertical="center" wrapText="1"/>
      <protection hidden="1"/>
    </xf>
    <xf numFmtId="0" fontId="7" fillId="8" borderId="87" xfId="2" applyFill="1" applyBorder="1" applyProtection="1">
      <protection hidden="1"/>
    </xf>
    <xf numFmtId="4" fontId="9" fillId="8" borderId="154" xfId="2" applyNumberFormat="1" applyFont="1" applyFill="1" applyBorder="1" applyAlignment="1" applyProtection="1">
      <alignment horizontal="right" vertical="center"/>
      <protection hidden="1"/>
    </xf>
    <xf numFmtId="0" fontId="7" fillId="8" borderId="0" xfId="2" applyFill="1" applyProtection="1">
      <protection hidden="1"/>
    </xf>
    <xf numFmtId="0" fontId="7" fillId="8" borderId="0" xfId="2" applyFill="1" applyAlignment="1" applyProtection="1">
      <alignment horizontal="center" vertical="center" wrapText="1"/>
      <protection hidden="1"/>
    </xf>
    <xf numFmtId="0" fontId="10" fillId="12" borderId="32" xfId="2" applyFont="1" applyFill="1" applyBorder="1" applyAlignment="1" applyProtection="1">
      <alignment horizontal="left" vertical="center"/>
      <protection hidden="1"/>
    </xf>
    <xf numFmtId="0" fontId="10" fillId="12" borderId="34" xfId="2" applyFont="1" applyFill="1" applyBorder="1" applyAlignment="1" applyProtection="1">
      <alignment horizontal="left" vertical="center"/>
      <protection hidden="1"/>
    </xf>
    <xf numFmtId="0" fontId="7" fillId="8" borderId="82" xfId="2" applyFill="1" applyBorder="1" applyAlignment="1" applyProtection="1">
      <alignment horizontal="center" vertical="center" wrapText="1"/>
      <protection hidden="1"/>
    </xf>
    <xf numFmtId="0" fontId="7" fillId="8" borderId="83" xfId="2" applyFill="1" applyBorder="1" applyAlignment="1" applyProtection="1">
      <alignment horizontal="center" vertical="center" wrapText="1"/>
      <protection hidden="1"/>
    </xf>
    <xf numFmtId="0" fontId="7" fillId="8" borderId="84" xfId="2" applyFill="1" applyBorder="1" applyAlignment="1" applyProtection="1">
      <alignment horizontal="center" vertical="center" wrapText="1"/>
      <protection hidden="1"/>
    </xf>
    <xf numFmtId="43" fontId="7" fillId="0" borderId="0" xfId="5" applyFont="1"/>
    <xf numFmtId="0" fontId="39" fillId="2" borderId="71" xfId="2" applyFont="1" applyFill="1" applyBorder="1" applyAlignment="1" applyProtection="1">
      <alignment horizontal="left" vertical="center" wrapText="1"/>
      <protection locked="0"/>
    </xf>
    <xf numFmtId="0" fontId="39" fillId="2" borderId="105" xfId="2" applyFont="1" applyFill="1" applyBorder="1" applyAlignment="1" applyProtection="1">
      <alignment horizontal="left" vertical="center" wrapText="1"/>
      <protection locked="0"/>
    </xf>
    <xf numFmtId="0" fontId="12" fillId="3" borderId="106" xfId="2" applyFont="1" applyFill="1" applyBorder="1" applyAlignment="1" applyProtection="1">
      <alignment horizontal="center" vertical="center" wrapText="1"/>
      <protection hidden="1"/>
    </xf>
    <xf numFmtId="0" fontId="12" fillId="3" borderId="0" xfId="2" applyFont="1" applyFill="1" applyAlignment="1" applyProtection="1">
      <alignment horizontal="center" vertical="center" wrapText="1"/>
      <protection hidden="1"/>
    </xf>
    <xf numFmtId="0" fontId="12" fillId="3" borderId="107" xfId="2" applyFont="1" applyFill="1" applyBorder="1" applyAlignment="1" applyProtection="1">
      <alignment horizontal="center" vertical="center" wrapText="1"/>
      <protection hidden="1"/>
    </xf>
    <xf numFmtId="0" fontId="40" fillId="2" borderId="28" xfId="2" applyFont="1" applyFill="1" applyBorder="1" applyAlignment="1" applyProtection="1">
      <alignment horizontal="center" vertical="center" wrapText="1"/>
      <protection locked="0"/>
    </xf>
    <xf numFmtId="0" fontId="40" fillId="2" borderId="53" xfId="2" applyFont="1" applyFill="1" applyBorder="1" applyAlignment="1" applyProtection="1">
      <alignment horizontal="center" vertical="center" wrapText="1"/>
      <protection locked="0"/>
    </xf>
    <xf numFmtId="0" fontId="12" fillId="3" borderId="35" xfId="2" applyFont="1" applyFill="1" applyBorder="1" applyAlignment="1" applyProtection="1">
      <alignment horizontal="center" vertical="center" wrapText="1"/>
      <protection hidden="1"/>
    </xf>
    <xf numFmtId="0" fontId="12" fillId="3" borderId="40" xfId="2" applyFont="1" applyFill="1" applyBorder="1" applyAlignment="1" applyProtection="1">
      <alignment horizontal="center" vertical="center" wrapText="1"/>
      <protection hidden="1"/>
    </xf>
    <xf numFmtId="0" fontId="12" fillId="3" borderId="34" xfId="2" applyFont="1" applyFill="1" applyBorder="1" applyAlignment="1" applyProtection="1">
      <alignment horizontal="center" vertical="center" wrapText="1"/>
      <protection hidden="1"/>
    </xf>
    <xf numFmtId="0" fontId="12" fillId="3" borderId="108" xfId="2" applyFont="1" applyFill="1" applyBorder="1" applyAlignment="1" applyProtection="1">
      <alignment horizontal="center" vertical="center" wrapText="1"/>
      <protection hidden="1"/>
    </xf>
    <xf numFmtId="0" fontId="39" fillId="2" borderId="68" xfId="2" applyFont="1" applyFill="1" applyBorder="1" applyAlignment="1" applyProtection="1">
      <alignment horizontal="center" vertical="center" wrapText="1"/>
      <protection locked="0"/>
    </xf>
    <xf numFmtId="0" fontId="39" fillId="2" borderId="38" xfId="2" applyFont="1" applyFill="1" applyBorder="1" applyAlignment="1" applyProtection="1">
      <alignment horizontal="center" vertical="center" wrapText="1"/>
      <protection locked="0"/>
    </xf>
    <xf numFmtId="0" fontId="12" fillId="3" borderId="104" xfId="2" applyFont="1" applyFill="1" applyBorder="1" applyAlignment="1" applyProtection="1">
      <alignment horizontal="center" vertical="center" wrapText="1"/>
      <protection hidden="1"/>
    </xf>
    <xf numFmtId="0" fontId="12" fillId="3" borderId="109" xfId="2" applyFont="1" applyFill="1" applyBorder="1" applyAlignment="1" applyProtection="1">
      <alignment horizontal="center" vertical="center" wrapText="1"/>
      <protection hidden="1"/>
    </xf>
    <xf numFmtId="0" fontId="12" fillId="3" borderId="110" xfId="2" applyFont="1" applyFill="1" applyBorder="1" applyAlignment="1" applyProtection="1">
      <alignment horizontal="center" vertical="center" wrapText="1"/>
      <protection hidden="1"/>
    </xf>
    <xf numFmtId="0" fontId="8" fillId="3" borderId="89" xfId="2" applyFont="1" applyFill="1" applyBorder="1" applyAlignment="1" applyProtection="1">
      <alignment horizontal="center" vertical="center" wrapText="1"/>
      <protection hidden="1"/>
    </xf>
    <xf numFmtId="0" fontId="8" fillId="3" borderId="90" xfId="2" applyFont="1" applyFill="1" applyBorder="1" applyAlignment="1" applyProtection="1">
      <alignment horizontal="center" vertical="center" wrapText="1"/>
      <protection hidden="1"/>
    </xf>
    <xf numFmtId="0" fontId="8" fillId="3" borderId="91" xfId="2" applyFont="1" applyFill="1" applyBorder="1" applyAlignment="1" applyProtection="1">
      <alignment horizontal="center" vertical="center" wrapText="1"/>
      <protection hidden="1"/>
    </xf>
    <xf numFmtId="0" fontId="8" fillId="3" borderId="92" xfId="2" applyFont="1" applyFill="1" applyBorder="1" applyAlignment="1" applyProtection="1">
      <alignment horizontal="center" vertical="center" wrapText="1"/>
      <protection hidden="1"/>
    </xf>
    <xf numFmtId="0" fontId="8" fillId="3" borderId="93" xfId="2" applyFont="1" applyFill="1" applyBorder="1" applyAlignment="1" applyProtection="1">
      <alignment horizontal="center" vertical="center" wrapText="1"/>
      <protection hidden="1"/>
    </xf>
    <xf numFmtId="0" fontId="8" fillId="3" borderId="94" xfId="2" applyFont="1" applyFill="1" applyBorder="1" applyAlignment="1" applyProtection="1">
      <alignment horizontal="center" vertical="center" wrapText="1"/>
      <protection hidden="1"/>
    </xf>
    <xf numFmtId="0" fontId="39" fillId="2" borderId="95" xfId="2" applyFont="1" applyFill="1" applyBorder="1" applyAlignment="1" applyProtection="1">
      <alignment horizontal="left" vertical="center"/>
      <protection locked="0"/>
    </xf>
    <xf numFmtId="0" fontId="39" fillId="2" borderId="96" xfId="2" applyFont="1" applyFill="1" applyBorder="1" applyAlignment="1" applyProtection="1">
      <alignment horizontal="left" vertical="center"/>
      <protection locked="0"/>
    </xf>
    <xf numFmtId="0" fontId="10" fillId="12" borderId="60" xfId="2" applyFont="1" applyFill="1" applyBorder="1" applyAlignment="1" applyProtection="1">
      <alignment horizontal="left" vertical="center" wrapText="1"/>
      <protection hidden="1"/>
    </xf>
    <xf numFmtId="0" fontId="10" fillId="12" borderId="28" xfId="2" applyFont="1" applyFill="1" applyBorder="1" applyAlignment="1" applyProtection="1">
      <alignment horizontal="left" vertical="center" wrapText="1"/>
      <protection hidden="1"/>
    </xf>
    <xf numFmtId="0" fontId="40" fillId="2" borderId="28" xfId="2" applyFont="1" applyFill="1" applyBorder="1" applyAlignment="1" applyProtection="1">
      <alignment horizontal="left" vertical="center" wrapText="1"/>
      <protection locked="0"/>
    </xf>
    <xf numFmtId="0" fontId="40" fillId="2" borderId="53" xfId="2" applyFont="1" applyFill="1" applyBorder="1" applyAlignment="1" applyProtection="1">
      <alignment horizontal="left" vertical="center" wrapText="1"/>
      <protection locked="0"/>
    </xf>
    <xf numFmtId="0" fontId="8" fillId="3" borderId="86" xfId="2" applyFont="1" applyFill="1" applyBorder="1" applyAlignment="1" applyProtection="1">
      <alignment horizontal="left" vertical="center" wrapText="1"/>
      <protection hidden="1"/>
    </xf>
    <xf numFmtId="0" fontId="8" fillId="3" borderId="87" xfId="2" applyFont="1" applyFill="1" applyBorder="1" applyAlignment="1" applyProtection="1">
      <alignment horizontal="left" vertical="center" wrapText="1"/>
      <protection hidden="1"/>
    </xf>
    <xf numFmtId="0" fontId="44" fillId="3" borderId="98" xfId="2" applyFont="1" applyFill="1" applyBorder="1" applyAlignment="1" applyProtection="1">
      <alignment horizontal="center" vertical="center" wrapText="1"/>
      <protection hidden="1"/>
    </xf>
    <xf numFmtId="0" fontId="44" fillId="3" borderId="76" xfId="2" applyFont="1" applyFill="1" applyBorder="1" applyAlignment="1" applyProtection="1">
      <alignment horizontal="center" vertical="center" wrapText="1"/>
      <protection hidden="1"/>
    </xf>
    <xf numFmtId="0" fontId="44" fillId="3" borderId="99" xfId="2" applyFont="1" applyFill="1" applyBorder="1" applyAlignment="1" applyProtection="1">
      <alignment horizontal="center" vertical="center" wrapText="1"/>
      <protection hidden="1"/>
    </xf>
    <xf numFmtId="4" fontId="40" fillId="2" borderId="28" xfId="2" applyNumberFormat="1" applyFont="1" applyFill="1" applyBorder="1" applyAlignment="1" applyProtection="1">
      <alignment horizontal="right" vertical="center" wrapText="1"/>
      <protection locked="0"/>
    </xf>
    <xf numFmtId="4" fontId="40" fillId="2" borderId="53" xfId="2" applyNumberFormat="1" applyFont="1" applyFill="1" applyBorder="1" applyAlignment="1" applyProtection="1">
      <alignment horizontal="right" vertical="center" wrapText="1"/>
      <protection locked="0"/>
    </xf>
    <xf numFmtId="0" fontId="12" fillId="3" borderId="36" xfId="2" applyFont="1" applyFill="1" applyBorder="1" applyAlignment="1" applyProtection="1">
      <alignment horizontal="center" vertical="center" wrapText="1"/>
      <protection hidden="1"/>
    </xf>
    <xf numFmtId="0" fontId="12" fillId="3" borderId="100" xfId="2" applyFont="1" applyFill="1" applyBorder="1" applyAlignment="1" applyProtection="1">
      <alignment horizontal="center" vertical="center" wrapText="1"/>
      <protection hidden="1"/>
    </xf>
    <xf numFmtId="0" fontId="10" fillId="12" borderId="88" xfId="2" applyFont="1" applyFill="1" applyBorder="1" applyAlignment="1" applyProtection="1">
      <alignment horizontal="left" vertical="center" wrapText="1"/>
      <protection hidden="1"/>
    </xf>
    <xf numFmtId="0" fontId="10" fillId="12" borderId="38" xfId="2" applyFont="1" applyFill="1" applyBorder="1" applyAlignment="1" applyProtection="1">
      <alignment horizontal="left" vertical="center" wrapText="1"/>
      <protection hidden="1"/>
    </xf>
    <xf numFmtId="0" fontId="39" fillId="0" borderId="59" xfId="2" applyFont="1" applyBorder="1" applyAlignment="1" applyProtection="1">
      <alignment horizontal="left" vertical="center"/>
      <protection locked="0"/>
    </xf>
    <xf numFmtId="0" fontId="39" fillId="0" borderId="85" xfId="2" applyFont="1" applyBorder="1" applyAlignment="1" applyProtection="1">
      <alignment horizontal="left" vertical="center"/>
      <protection locked="0"/>
    </xf>
    <xf numFmtId="0" fontId="42" fillId="0" borderId="21" xfId="0" applyFont="1" applyBorder="1" applyAlignment="1">
      <alignment horizontal="left" vertical="top" wrapText="1"/>
    </xf>
    <xf numFmtId="0" fontId="42" fillId="0" borderId="5" xfId="0" applyFont="1" applyBorder="1" applyAlignment="1">
      <alignment horizontal="left" vertical="top" wrapText="1"/>
    </xf>
    <xf numFmtId="0" fontId="40" fillId="0" borderId="68" xfId="2" applyFont="1" applyBorder="1" applyAlignment="1" applyProtection="1">
      <alignment horizontal="center" vertical="center" wrapText="1"/>
      <protection locked="0"/>
    </xf>
    <xf numFmtId="0" fontId="40" fillId="0" borderId="97" xfId="2" applyFont="1" applyBorder="1" applyAlignment="1" applyProtection="1">
      <alignment horizontal="center" vertical="center" wrapText="1"/>
      <protection locked="0"/>
    </xf>
    <xf numFmtId="14" fontId="40" fillId="0" borderId="68" xfId="2" applyNumberFormat="1" applyFont="1" applyBorder="1" applyAlignment="1" applyProtection="1">
      <alignment horizontal="center" vertical="center" wrapText="1"/>
      <protection locked="0"/>
    </xf>
    <xf numFmtId="14" fontId="40" fillId="0" borderId="97" xfId="2" applyNumberFormat="1" applyFont="1" applyBorder="1" applyAlignment="1" applyProtection="1">
      <alignment horizontal="center" vertical="center" wrapText="1"/>
      <protection locked="0"/>
    </xf>
    <xf numFmtId="4" fontId="32" fillId="14" borderId="148" xfId="2" applyNumberFormat="1" applyFont="1" applyFill="1" applyBorder="1" applyAlignment="1" applyProtection="1">
      <alignment horizontal="center" vertical="center" wrapText="1"/>
      <protection locked="0"/>
    </xf>
    <xf numFmtId="4" fontId="32" fillId="14" borderId="149" xfId="2" applyNumberFormat="1" applyFont="1" applyFill="1" applyBorder="1" applyAlignment="1" applyProtection="1">
      <alignment horizontal="center" vertical="center" wrapText="1"/>
      <protection locked="0"/>
    </xf>
    <xf numFmtId="4" fontId="40" fillId="2" borderId="28" xfId="2" applyNumberFormat="1" applyFont="1" applyFill="1" applyBorder="1" applyAlignment="1" applyProtection="1">
      <alignment horizontal="right" vertical="center" wrapText="1"/>
    </xf>
    <xf numFmtId="4" fontId="40" fillId="2" borderId="53" xfId="2" applyNumberFormat="1" applyFont="1" applyFill="1" applyBorder="1" applyAlignment="1" applyProtection="1">
      <alignment horizontal="right" vertical="center" wrapText="1"/>
    </xf>
    <xf numFmtId="2" fontId="43" fillId="0" borderId="0" xfId="0" applyNumberFormat="1" applyFont="1" applyAlignment="1">
      <alignment horizontal="left" vertical="top" wrapText="1"/>
    </xf>
    <xf numFmtId="0" fontId="7" fillId="0" borderId="0" xfId="2" applyAlignment="1">
      <alignment horizontal="left" vertical="top" wrapText="1"/>
    </xf>
    <xf numFmtId="0" fontId="10" fillId="12" borderId="155" xfId="2" applyFont="1" applyFill="1" applyBorder="1" applyAlignment="1" applyProtection="1">
      <alignment horizontal="left" vertical="center" wrapText="1"/>
      <protection hidden="1"/>
    </xf>
    <xf numFmtId="0" fontId="10" fillId="12" borderId="30" xfId="2" applyFont="1" applyFill="1" applyBorder="1" applyAlignment="1" applyProtection="1">
      <alignment horizontal="left" vertical="center" wrapText="1"/>
      <protection hidden="1"/>
    </xf>
    <xf numFmtId="0" fontId="7" fillId="0" borderId="0" xfId="2" applyAlignment="1" applyProtection="1">
      <alignment horizontal="left" vertical="top" wrapText="1"/>
      <protection hidden="1"/>
    </xf>
    <xf numFmtId="0" fontId="41" fillId="0" borderId="21" xfId="0" applyFont="1" applyBorder="1" applyAlignment="1" applyProtection="1">
      <alignment horizontal="left"/>
      <protection hidden="1"/>
    </xf>
    <xf numFmtId="0" fontId="41" fillId="0" borderId="5" xfId="0" applyFont="1" applyBorder="1" applyAlignment="1" applyProtection="1">
      <alignment horizontal="left"/>
      <protection hidden="1"/>
    </xf>
    <xf numFmtId="166" fontId="32" fillId="14" borderId="148" xfId="2" applyNumberFormat="1" applyFont="1" applyFill="1" applyBorder="1" applyAlignment="1">
      <alignment horizontal="right" vertical="center" wrapText="1"/>
    </xf>
    <xf numFmtId="166" fontId="32" fillId="14" borderId="149" xfId="2" applyNumberFormat="1" applyFont="1" applyFill="1" applyBorder="1" applyAlignment="1">
      <alignment horizontal="right" vertical="center" wrapText="1"/>
    </xf>
    <xf numFmtId="166" fontId="32" fillId="14" borderId="152" xfId="2" applyNumberFormat="1" applyFont="1" applyFill="1" applyBorder="1" applyAlignment="1">
      <alignment horizontal="right" vertical="center" wrapText="1"/>
    </xf>
    <xf numFmtId="166" fontId="32" fillId="14" borderId="153" xfId="2" applyNumberFormat="1" applyFont="1" applyFill="1" applyBorder="1" applyAlignment="1">
      <alignment horizontal="right" vertical="center" wrapText="1"/>
    </xf>
    <xf numFmtId="0" fontId="40" fillId="0" borderId="101" xfId="2" applyFont="1" applyBorder="1" applyAlignment="1" applyProtection="1">
      <alignment vertical="center" shrinkToFit="1"/>
      <protection locked="0"/>
    </xf>
    <xf numFmtId="0" fontId="40" fillId="0" borderId="102" xfId="2" applyFont="1" applyBorder="1" applyAlignment="1" applyProtection="1">
      <alignment vertical="center" shrinkToFit="1"/>
      <protection locked="0"/>
    </xf>
    <xf numFmtId="0" fontId="45" fillId="0" borderId="76" xfId="0" applyFont="1" applyBorder="1" applyAlignment="1">
      <alignment vertical="top" wrapText="1"/>
    </xf>
    <xf numFmtId="0" fontId="45" fillId="0" borderId="103" xfId="0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0" fontId="45" fillId="0" borderId="104" xfId="0" applyFont="1" applyBorder="1" applyAlignment="1">
      <alignment vertical="top" wrapText="1"/>
    </xf>
    <xf numFmtId="0" fontId="3" fillId="0" borderId="0" xfId="0" applyFont="1" applyAlignment="1" applyProtection="1">
      <alignment horizontal="left" vertical="center"/>
      <protection hidden="1"/>
    </xf>
    <xf numFmtId="4" fontId="2" fillId="0" borderId="117" xfId="0" applyNumberFormat="1" applyFont="1" applyBorder="1" applyAlignment="1" applyProtection="1">
      <alignment horizontal="right" vertical="center"/>
      <protection hidden="1"/>
    </xf>
    <xf numFmtId="0" fontId="2" fillId="0" borderId="119" xfId="2" applyFont="1" applyBorder="1" applyAlignment="1" applyProtection="1">
      <alignment horizontal="left" vertical="top"/>
      <protection hidden="1"/>
    </xf>
    <xf numFmtId="0" fontId="2" fillId="0" borderId="117" xfId="2" applyFont="1" applyBorder="1" applyAlignment="1" applyProtection="1">
      <alignment horizontal="left" vertical="top"/>
      <protection hidden="1"/>
    </xf>
    <xf numFmtId="0" fontId="1" fillId="0" borderId="112" xfId="0" applyFont="1" applyBorder="1" applyAlignment="1" applyProtection="1">
      <alignment horizontal="center" vertical="center"/>
      <protection hidden="1"/>
    </xf>
    <xf numFmtId="0" fontId="1" fillId="0" borderId="113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locked="0"/>
    </xf>
    <xf numFmtId="0" fontId="0" fillId="0" borderId="117" xfId="0" applyBorder="1" applyAlignment="1" applyProtection="1">
      <alignment horizontal="right"/>
      <protection hidden="1"/>
    </xf>
    <xf numFmtId="0" fontId="0" fillId="0" borderId="120" xfId="0" applyBorder="1" applyAlignment="1" applyProtection="1">
      <alignment horizontal="right"/>
      <protection hidden="1"/>
    </xf>
    <xf numFmtId="0" fontId="2" fillId="0" borderId="117" xfId="2" applyFont="1" applyBorder="1" applyAlignment="1" applyProtection="1">
      <alignment vertical="top"/>
      <protection hidden="1"/>
    </xf>
    <xf numFmtId="0" fontId="30" fillId="0" borderId="0" xfId="0" applyFont="1" applyAlignment="1" applyProtection="1">
      <alignment horizontal="left" vertical="center"/>
      <protection locked="0" hidden="1"/>
    </xf>
    <xf numFmtId="4" fontId="1" fillId="0" borderId="113" xfId="0" applyNumberFormat="1" applyFont="1" applyBorder="1" applyAlignment="1" applyProtection="1">
      <alignment horizontal="right" vertical="center"/>
      <protection hidden="1"/>
    </xf>
    <xf numFmtId="0" fontId="46" fillId="0" borderId="113" xfId="0" applyFont="1" applyBorder="1" applyAlignment="1" applyProtection="1">
      <alignment horizontal="right"/>
      <protection hidden="1"/>
    </xf>
    <xf numFmtId="0" fontId="46" fillId="0" borderId="114" xfId="0" applyFont="1" applyBorder="1" applyAlignment="1" applyProtection="1">
      <alignment horizontal="right"/>
      <protection hidden="1"/>
    </xf>
    <xf numFmtId="0" fontId="20" fillId="0" borderId="0" xfId="0" applyFont="1" applyAlignment="1" applyProtection="1">
      <alignment horizontal="left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11" xfId="2" applyFont="1" applyBorder="1" applyAlignment="1" applyProtection="1">
      <alignment horizontal="left" vertical="top"/>
      <protection hidden="1"/>
    </xf>
    <xf numFmtId="0" fontId="2" fillId="0" borderId="10" xfId="2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0" xfId="2" applyFont="1" applyBorder="1" applyAlignment="1" applyProtection="1">
      <alignment vertical="top"/>
      <protection hidden="1"/>
    </xf>
    <xf numFmtId="0" fontId="2" fillId="0" borderId="48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2" fillId="0" borderId="11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115" xfId="0" applyFont="1" applyBorder="1" applyAlignment="1" applyProtection="1">
      <alignment horizontal="left" vertical="center"/>
      <protection hidden="1"/>
    </xf>
    <xf numFmtId="4" fontId="2" fillId="0" borderId="10" xfId="0" applyNumberFormat="1" applyFont="1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/>
      <protection hidden="1"/>
    </xf>
    <xf numFmtId="0" fontId="0" fillId="0" borderId="11" xfId="0" applyBorder="1" applyAlignment="1" applyProtection="1">
      <alignment horizontal="right"/>
      <protection hidden="1"/>
    </xf>
    <xf numFmtId="0" fontId="2" fillId="0" borderId="116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9" xfId="0" applyFont="1" applyBorder="1" applyAlignment="1" applyProtection="1">
      <alignment horizontal="left" vertical="center"/>
      <protection hidden="1"/>
    </xf>
    <xf numFmtId="4" fontId="2" fillId="0" borderId="6" xfId="0" applyNumberFormat="1" applyFont="1" applyBorder="1" applyAlignment="1" applyProtection="1">
      <alignment horizontal="right" vertical="center"/>
      <protection hidden="1"/>
    </xf>
    <xf numFmtId="0" fontId="0" fillId="0" borderId="6" xfId="0" applyBorder="1" applyAlignment="1" applyProtection="1">
      <alignment horizontal="right"/>
      <protection hidden="1"/>
    </xf>
    <xf numFmtId="0" fontId="0" fillId="0" borderId="7" xfId="0" applyBorder="1" applyAlignment="1" applyProtection="1">
      <alignment horizontal="right"/>
      <protection hidden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hidden="1"/>
    </xf>
    <xf numFmtId="14" fontId="2" fillId="0" borderId="9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2" applyFont="1" applyBorder="1" applyAlignment="1" applyProtection="1">
      <alignment vertical="top"/>
      <protection hidden="1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15" xfId="0" applyFont="1" applyBorder="1" applyAlignment="1" applyProtection="1">
      <alignment horizontal="center" vertical="center"/>
      <protection locked="0"/>
    </xf>
    <xf numFmtId="0" fontId="2" fillId="0" borderId="118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0" fontId="2" fillId="0" borderId="48" xfId="2" applyFont="1" applyBorder="1" applyAlignment="1" applyProtection="1">
      <alignment horizontal="left" vertical="top"/>
      <protection hidden="1"/>
    </xf>
    <xf numFmtId="0" fontId="2" fillId="0" borderId="6" xfId="2" applyFont="1" applyBorder="1" applyAlignment="1" applyProtection="1">
      <alignment horizontal="left" vertical="top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30" fillId="0" borderId="45" xfId="0" applyFont="1" applyBorder="1" applyAlignment="1">
      <alignment horizontal="center" vertical="center"/>
    </xf>
    <xf numFmtId="166" fontId="30" fillId="0" borderId="45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5" fillId="4" borderId="111" xfId="4" applyFont="1" applyFill="1" applyBorder="1" applyAlignment="1" applyProtection="1">
      <alignment horizontal="center"/>
      <protection hidden="1"/>
    </xf>
    <xf numFmtId="0" fontId="5" fillId="4" borderId="20" xfId="4" applyFont="1" applyFill="1" applyBorder="1" applyAlignment="1" applyProtection="1">
      <alignment horizontal="center"/>
      <protection hidden="1"/>
    </xf>
    <xf numFmtId="0" fontId="5" fillId="4" borderId="10" xfId="4" applyFont="1" applyFill="1" applyBorder="1" applyAlignment="1" applyProtection="1">
      <alignment horizontal="center"/>
      <protection hidden="1"/>
    </xf>
    <xf numFmtId="0" fontId="5" fillId="4" borderId="11" xfId="4" applyFont="1" applyFill="1" applyBorder="1" applyAlignment="1" applyProtection="1">
      <alignment horizontal="center"/>
      <protection hidden="1"/>
    </xf>
    <xf numFmtId="0" fontId="6" fillId="4" borderId="111" xfId="4" applyFont="1" applyFill="1" applyBorder="1" applyAlignment="1" applyProtection="1">
      <alignment horizontal="center" vertical="center" wrapText="1"/>
      <protection hidden="1"/>
    </xf>
    <xf numFmtId="0" fontId="6" fillId="4" borderId="10" xfId="4" applyFont="1" applyFill="1" applyBorder="1" applyAlignment="1" applyProtection="1">
      <alignment horizontal="center" vertical="center"/>
      <protection hidden="1"/>
    </xf>
    <xf numFmtId="0" fontId="6" fillId="4" borderId="48" xfId="4" applyFont="1" applyFill="1" applyBorder="1" applyAlignment="1" applyProtection="1">
      <alignment horizontal="center" vertical="center"/>
      <protection hidden="1"/>
    </xf>
    <xf numFmtId="0" fontId="6" fillId="4" borderId="6" xfId="4" applyFont="1" applyFill="1" applyBorder="1" applyAlignment="1" applyProtection="1">
      <alignment horizontal="center" vertical="center"/>
      <protection hidden="1"/>
    </xf>
    <xf numFmtId="0" fontId="6" fillId="4" borderId="116" xfId="4" applyFont="1" applyFill="1" applyBorder="1" applyAlignment="1" applyProtection="1">
      <alignment horizontal="center" vertical="center"/>
      <protection hidden="1"/>
    </xf>
    <xf numFmtId="0" fontId="6" fillId="4" borderId="8" xfId="4" applyFont="1" applyFill="1" applyBorder="1" applyAlignment="1" applyProtection="1">
      <alignment horizontal="center" vertical="center"/>
      <protection hidden="1"/>
    </xf>
    <xf numFmtId="0" fontId="14" fillId="4" borderId="135" xfId="4" applyFont="1" applyFill="1" applyBorder="1" applyAlignment="1" applyProtection="1">
      <alignment horizontal="center" vertical="center" wrapText="1"/>
      <protection hidden="1"/>
    </xf>
    <xf numFmtId="0" fontId="14" fillId="4" borderId="129" xfId="4" applyFont="1" applyFill="1" applyBorder="1" applyAlignment="1" applyProtection="1">
      <alignment horizontal="center" vertical="center" wrapText="1"/>
      <protection hidden="1"/>
    </xf>
    <xf numFmtId="0" fontId="14" fillId="4" borderId="23" xfId="4" applyFont="1" applyFill="1" applyBorder="1" applyAlignment="1" applyProtection="1">
      <alignment horizontal="center" vertical="center" wrapText="1"/>
      <protection hidden="1"/>
    </xf>
    <xf numFmtId="0" fontId="14" fillId="4" borderId="22" xfId="4" applyFont="1" applyFill="1" applyBorder="1" applyAlignment="1" applyProtection="1">
      <alignment horizontal="center" vertical="center" wrapText="1"/>
      <protection hidden="1"/>
    </xf>
    <xf numFmtId="0" fontId="14" fillId="4" borderId="18" xfId="4" applyFont="1" applyFill="1" applyBorder="1" applyAlignment="1" applyProtection="1">
      <alignment horizontal="center" vertical="center" wrapText="1"/>
      <protection hidden="1"/>
    </xf>
    <xf numFmtId="0" fontId="14" fillId="4" borderId="19" xfId="4" applyFont="1" applyFill="1" applyBorder="1" applyAlignment="1" applyProtection="1">
      <alignment horizontal="center" vertical="center" wrapText="1"/>
      <protection hidden="1"/>
    </xf>
    <xf numFmtId="0" fontId="14" fillId="4" borderId="115" xfId="4" applyFont="1" applyFill="1" applyBorder="1" applyAlignment="1" applyProtection="1">
      <alignment horizontal="center" vertical="center" wrapText="1"/>
      <protection hidden="1"/>
    </xf>
    <xf numFmtId="0" fontId="14" fillId="4" borderId="21" xfId="4" applyFont="1" applyFill="1" applyBorder="1" applyAlignment="1" applyProtection="1">
      <alignment horizontal="center" vertical="center" wrapText="1"/>
      <protection hidden="1"/>
    </xf>
    <xf numFmtId="0" fontId="14" fillId="4" borderId="4" xfId="4" applyFont="1" applyFill="1" applyBorder="1" applyAlignment="1" applyProtection="1">
      <alignment horizontal="center" vertical="center" wrapText="1"/>
      <protection hidden="1"/>
    </xf>
    <xf numFmtId="0" fontId="14" fillId="4" borderId="121" xfId="4" applyFont="1" applyFill="1" applyBorder="1" applyAlignment="1" applyProtection="1">
      <alignment horizontal="center" vertical="center" wrapText="1"/>
      <protection hidden="1"/>
    </xf>
    <xf numFmtId="0" fontId="14" fillId="4" borderId="21" xfId="4" applyFont="1" applyFill="1" applyBorder="1" applyAlignment="1" applyProtection="1">
      <alignment horizontal="center"/>
      <protection hidden="1"/>
    </xf>
    <xf numFmtId="0" fontId="14" fillId="4" borderId="5" xfId="4" applyFont="1" applyFill="1" applyBorder="1" applyAlignment="1" applyProtection="1">
      <alignment horizontal="center"/>
      <protection hidden="1"/>
    </xf>
    <xf numFmtId="0" fontId="14" fillId="4" borderId="4" xfId="4" applyFont="1" applyFill="1" applyBorder="1" applyAlignment="1" applyProtection="1">
      <alignment horizontal="center"/>
      <protection hidden="1"/>
    </xf>
    <xf numFmtId="0" fontId="14" fillId="4" borderId="121" xfId="4" applyFont="1" applyFill="1" applyBorder="1" applyAlignment="1" applyProtection="1">
      <alignment horizontal="center"/>
      <protection hidden="1"/>
    </xf>
    <xf numFmtId="0" fontId="14" fillId="4" borderId="131" xfId="4" applyFont="1" applyFill="1" applyBorder="1" applyAlignment="1" applyProtection="1">
      <alignment horizontal="center" vertical="center" wrapText="1"/>
      <protection hidden="1"/>
    </xf>
    <xf numFmtId="0" fontId="14" fillId="4" borderId="140" xfId="4" applyFont="1" applyFill="1" applyBorder="1" applyAlignment="1" applyProtection="1">
      <alignment horizontal="center" vertical="center" wrapText="1"/>
      <protection hidden="1"/>
    </xf>
    <xf numFmtId="0" fontId="14" fillId="4" borderId="132" xfId="4" applyFont="1" applyFill="1" applyBorder="1" applyAlignment="1" applyProtection="1">
      <alignment horizontal="center" vertical="center" wrapText="1"/>
      <protection hidden="1"/>
    </xf>
    <xf numFmtId="0" fontId="14" fillId="4" borderId="133" xfId="4" applyFont="1" applyFill="1" applyBorder="1" applyAlignment="1" applyProtection="1">
      <alignment horizontal="center" vertical="center" wrapText="1"/>
      <protection hidden="1"/>
    </xf>
    <xf numFmtId="0" fontId="47" fillId="4" borderId="124" xfId="4" applyFont="1" applyFill="1" applyBorder="1" applyAlignment="1" applyProtection="1">
      <alignment horizontal="center" vertical="center"/>
      <protection hidden="1"/>
    </xf>
    <xf numFmtId="0" fontId="47" fillId="4" borderId="0" xfId="4" applyFont="1" applyFill="1" applyAlignment="1" applyProtection="1">
      <alignment horizontal="center" vertical="center"/>
      <protection hidden="1"/>
    </xf>
    <xf numFmtId="0" fontId="47" fillId="4" borderId="127" xfId="4" applyFont="1" applyFill="1" applyBorder="1" applyAlignment="1" applyProtection="1">
      <alignment horizontal="center" vertical="center"/>
      <protection hidden="1"/>
    </xf>
    <xf numFmtId="0" fontId="5" fillId="4" borderId="124" xfId="4" applyFont="1" applyFill="1" applyBorder="1" applyAlignment="1" applyProtection="1">
      <alignment horizontal="center"/>
      <protection hidden="1"/>
    </xf>
    <xf numFmtId="0" fontId="5" fillId="4" borderId="0" xfId="4" applyFont="1" applyFill="1" applyAlignment="1" applyProtection="1">
      <alignment horizontal="center"/>
      <protection hidden="1"/>
    </xf>
    <xf numFmtId="0" fontId="5" fillId="4" borderId="127" xfId="4" applyFont="1" applyFill="1" applyBorder="1" applyAlignment="1" applyProtection="1">
      <alignment horizontal="center"/>
      <protection hidden="1"/>
    </xf>
    <xf numFmtId="0" fontId="6" fillId="4" borderId="136" xfId="4" applyFont="1" applyFill="1" applyBorder="1" applyAlignment="1" applyProtection="1">
      <alignment horizontal="left" vertical="center"/>
      <protection hidden="1"/>
    </xf>
    <xf numFmtId="0" fontId="6" fillId="4" borderId="137" xfId="4" applyFont="1" applyFill="1" applyBorder="1" applyAlignment="1" applyProtection="1">
      <alignment horizontal="left" vertical="center"/>
      <protection hidden="1"/>
    </xf>
    <xf numFmtId="0" fontId="6" fillId="4" borderId="138" xfId="4" applyFont="1" applyFill="1" applyBorder="1" applyAlignment="1" applyProtection="1">
      <alignment horizontal="left" vertical="center"/>
      <protection hidden="1"/>
    </xf>
    <xf numFmtId="0" fontId="6" fillId="4" borderId="139" xfId="4" applyFont="1" applyFill="1" applyBorder="1" applyAlignment="1" applyProtection="1">
      <alignment horizontal="center" vertical="center"/>
      <protection hidden="1"/>
    </xf>
    <xf numFmtId="0" fontId="6" fillId="4" borderId="137" xfId="4" applyFont="1" applyFill="1" applyBorder="1" applyAlignment="1" applyProtection="1">
      <alignment horizontal="center" vertical="center"/>
      <protection hidden="1"/>
    </xf>
    <xf numFmtId="0" fontId="6" fillId="4" borderId="49" xfId="4" applyFont="1" applyFill="1" applyBorder="1" applyAlignment="1" applyProtection="1">
      <alignment horizontal="center" vertical="center"/>
      <protection hidden="1"/>
    </xf>
    <xf numFmtId="0" fontId="5" fillId="4" borderId="136" xfId="4" applyFont="1" applyFill="1" applyBorder="1" applyAlignment="1" applyProtection="1">
      <alignment horizontal="center"/>
      <protection hidden="1"/>
    </xf>
    <xf numFmtId="0" fontId="5" fillId="4" borderId="137" xfId="4" applyFont="1" applyFill="1" applyBorder="1" applyAlignment="1" applyProtection="1">
      <alignment horizontal="center"/>
      <protection hidden="1"/>
    </xf>
    <xf numFmtId="0" fontId="6" fillId="4" borderId="118" xfId="4" applyFont="1" applyFill="1" applyBorder="1" applyAlignment="1" applyProtection="1">
      <alignment horizontal="left"/>
      <protection hidden="1"/>
    </xf>
    <xf numFmtId="0" fontId="6" fillId="4" borderId="19" xfId="4" applyFont="1" applyFill="1" applyBorder="1" applyAlignment="1" applyProtection="1">
      <alignment horizontal="left"/>
      <protection hidden="1"/>
    </xf>
    <xf numFmtId="0" fontId="6" fillId="4" borderId="20" xfId="4" applyFont="1" applyFill="1" applyBorder="1" applyAlignment="1" applyProtection="1">
      <alignment horizontal="left"/>
      <protection hidden="1"/>
    </xf>
    <xf numFmtId="0" fontId="6" fillId="4" borderId="18" xfId="4" applyFont="1" applyFill="1" applyBorder="1" applyAlignment="1" applyProtection="1">
      <alignment horizontal="center"/>
      <protection hidden="1"/>
    </xf>
    <xf numFmtId="0" fontId="6" fillId="4" borderId="19" xfId="4" applyFont="1" applyFill="1" applyBorder="1" applyAlignment="1" applyProtection="1">
      <alignment horizontal="center"/>
      <protection hidden="1"/>
    </xf>
    <xf numFmtId="0" fontId="6" fillId="4" borderId="115" xfId="4" applyFont="1" applyFill="1" applyBorder="1" applyAlignment="1" applyProtection="1">
      <alignment horizontal="center"/>
      <protection hidden="1"/>
    </xf>
    <xf numFmtId="0" fontId="6" fillId="4" borderId="21" xfId="4" applyFont="1" applyFill="1" applyBorder="1" applyAlignment="1" applyProtection="1">
      <alignment horizontal="center"/>
      <protection hidden="1"/>
    </xf>
    <xf numFmtId="0" fontId="6" fillId="4" borderId="4" xfId="4" applyFont="1" applyFill="1" applyBorder="1" applyAlignment="1" applyProtection="1">
      <alignment horizontal="center"/>
      <protection hidden="1"/>
    </xf>
    <xf numFmtId="0" fontId="6" fillId="4" borderId="121" xfId="4" applyFont="1" applyFill="1" applyBorder="1" applyAlignment="1" applyProtection="1">
      <alignment horizontal="center"/>
      <protection hidden="1"/>
    </xf>
    <xf numFmtId="0" fontId="6" fillId="4" borderId="116" xfId="4" applyFont="1" applyFill="1" applyBorder="1" applyAlignment="1" applyProtection="1">
      <alignment horizontal="left"/>
      <protection hidden="1"/>
    </xf>
    <xf numFmtId="0" fontId="6" fillId="4" borderId="8" xfId="4" applyFont="1" applyFill="1" applyBorder="1" applyAlignment="1" applyProtection="1">
      <alignment horizontal="left"/>
      <protection hidden="1"/>
    </xf>
    <xf numFmtId="0" fontId="6" fillId="4" borderId="131" xfId="4" applyFont="1" applyFill="1" applyBorder="1" applyAlignment="1" applyProtection="1">
      <alignment horizontal="center"/>
      <protection hidden="1"/>
    </xf>
    <xf numFmtId="0" fontId="6" fillId="4" borderId="132" xfId="4" applyFont="1" applyFill="1" applyBorder="1" applyAlignment="1" applyProtection="1">
      <alignment horizontal="center"/>
      <protection hidden="1"/>
    </xf>
    <xf numFmtId="0" fontId="6" fillId="4" borderId="133" xfId="4" applyFont="1" applyFill="1" applyBorder="1" applyAlignment="1" applyProtection="1">
      <alignment horizontal="center"/>
      <protection hidden="1"/>
    </xf>
    <xf numFmtId="0" fontId="4" fillId="0" borderId="130" xfId="4" applyFont="1" applyBorder="1" applyAlignment="1" applyProtection="1">
      <alignment horizontal="center"/>
      <protection hidden="1"/>
    </xf>
    <xf numFmtId="0" fontId="4" fillId="0" borderId="125" xfId="4" applyFont="1" applyBorder="1" applyAlignment="1" applyProtection="1">
      <alignment horizontal="center"/>
      <protection hidden="1"/>
    </xf>
    <xf numFmtId="0" fontId="4" fillId="0" borderId="17" xfId="4" applyFont="1" applyBorder="1" applyAlignment="1" applyProtection="1">
      <alignment horizontal="center"/>
      <protection hidden="1"/>
    </xf>
    <xf numFmtId="0" fontId="4" fillId="0" borderId="15" xfId="4" applyFont="1" applyBorder="1" applyAlignment="1" applyProtection="1">
      <alignment horizontal="center"/>
      <protection hidden="1"/>
    </xf>
    <xf numFmtId="0" fontId="14" fillId="0" borderId="128" xfId="4" applyFont="1" applyBorder="1" applyAlignment="1" applyProtection="1">
      <alignment horizontal="center" vertical="center"/>
      <protection hidden="1"/>
    </xf>
    <xf numFmtId="0" fontId="14" fillId="0" borderId="1" xfId="4" applyFont="1" applyBorder="1" applyAlignment="1" applyProtection="1">
      <alignment horizontal="center" vertical="center"/>
      <protection hidden="1"/>
    </xf>
    <xf numFmtId="0" fontId="14" fillId="0" borderId="129" xfId="4" applyFont="1" applyBorder="1" applyAlignment="1" applyProtection="1">
      <alignment horizontal="center" vertical="center"/>
      <protection hidden="1"/>
    </xf>
    <xf numFmtId="0" fontId="14" fillId="0" borderId="124" xfId="4" applyFont="1" applyBorder="1" applyAlignment="1" applyProtection="1">
      <alignment horizontal="center" vertical="center"/>
      <protection hidden="1"/>
    </xf>
    <xf numFmtId="0" fontId="14" fillId="0" borderId="0" xfId="4" applyFont="1" applyAlignment="1" applyProtection="1">
      <alignment horizontal="center" vertical="center"/>
      <protection hidden="1"/>
    </xf>
    <xf numFmtId="0" fontId="14" fillId="0" borderId="125" xfId="4" applyFont="1" applyBorder="1" applyAlignment="1" applyProtection="1">
      <alignment horizontal="center" vertical="center"/>
      <protection hidden="1"/>
    </xf>
    <xf numFmtId="0" fontId="14" fillId="0" borderId="134" xfId="4" applyFont="1" applyBorder="1" applyAlignment="1" applyProtection="1">
      <alignment horizontal="center" vertical="center"/>
      <protection hidden="1"/>
    </xf>
    <xf numFmtId="0" fontId="14" fillId="0" borderId="47" xfId="4" applyFont="1" applyBorder="1" applyAlignment="1" applyProtection="1">
      <alignment horizontal="center" vertical="center"/>
      <protection hidden="1"/>
    </xf>
    <xf numFmtId="0" fontId="14" fillId="0" borderId="25" xfId="4" applyFont="1" applyBorder="1" applyAlignment="1" applyProtection="1">
      <alignment horizontal="center" vertical="center"/>
      <protection hidden="1"/>
    </xf>
    <xf numFmtId="0" fontId="14" fillId="0" borderId="135" xfId="4" applyFont="1" applyBorder="1" applyAlignment="1" applyProtection="1">
      <alignment horizontal="center"/>
      <protection hidden="1"/>
    </xf>
    <xf numFmtId="0" fontId="14" fillId="0" borderId="1" xfId="4" applyFont="1" applyBorder="1" applyAlignment="1" applyProtection="1">
      <alignment horizontal="center"/>
      <protection hidden="1"/>
    </xf>
    <xf numFmtId="0" fontId="14" fillId="0" borderId="129" xfId="4" applyFont="1" applyBorder="1" applyAlignment="1" applyProtection="1">
      <alignment horizontal="center"/>
      <protection hidden="1"/>
    </xf>
    <xf numFmtId="0" fontId="14" fillId="0" borderId="10" xfId="4" applyFont="1" applyBorder="1" applyAlignment="1" applyProtection="1">
      <alignment horizontal="center"/>
      <protection hidden="1"/>
    </xf>
    <xf numFmtId="0" fontId="14" fillId="0" borderId="11" xfId="4" applyFont="1" applyBorder="1" applyAlignment="1" applyProtection="1">
      <alignment horizontal="center"/>
      <protection hidden="1"/>
    </xf>
    <xf numFmtId="164" fontId="14" fillId="0" borderId="8" xfId="1" applyFont="1" applyFill="1" applyBorder="1" applyAlignment="1" applyProtection="1">
      <alignment horizontal="center"/>
      <protection hidden="1"/>
    </xf>
    <xf numFmtId="0" fontId="13" fillId="6" borderId="118" xfId="4" applyFill="1" applyBorder="1" applyAlignment="1" applyProtection="1">
      <alignment horizontal="center" vertical="center" wrapText="1"/>
      <protection hidden="1"/>
    </xf>
    <xf numFmtId="0" fontId="13" fillId="6" borderId="19" xfId="4" applyFill="1" applyBorder="1" applyAlignment="1" applyProtection="1">
      <alignment horizontal="center" vertical="center" wrapText="1"/>
      <protection hidden="1"/>
    </xf>
    <xf numFmtId="0" fontId="13" fillId="6" borderId="20" xfId="4" applyFill="1" applyBorder="1" applyAlignment="1" applyProtection="1">
      <alignment horizontal="center" vertical="center" wrapText="1"/>
      <protection hidden="1"/>
    </xf>
    <xf numFmtId="0" fontId="14" fillId="0" borderId="111" xfId="4" applyFont="1" applyBorder="1" applyAlignment="1" applyProtection="1">
      <alignment horizontal="center" vertical="center"/>
      <protection hidden="1"/>
    </xf>
    <xf numFmtId="0" fontId="14" fillId="0" borderId="20" xfId="4" applyFont="1" applyBorder="1" applyAlignment="1" applyProtection="1">
      <alignment horizontal="center" vertical="center"/>
      <protection hidden="1"/>
    </xf>
    <xf numFmtId="0" fontId="14" fillId="0" borderId="10" xfId="4" applyFont="1" applyBorder="1" applyAlignment="1" applyProtection="1">
      <alignment horizontal="center" vertical="center"/>
      <protection hidden="1"/>
    </xf>
    <xf numFmtId="0" fontId="6" fillId="0" borderId="48" xfId="4" applyFont="1" applyBorder="1" applyAlignment="1" applyProtection="1">
      <alignment horizontal="left"/>
      <protection hidden="1"/>
    </xf>
    <xf numFmtId="0" fontId="6" fillId="0" borderId="6" xfId="4" applyFont="1" applyBorder="1" applyAlignment="1" applyProtection="1">
      <alignment horizontal="left"/>
      <protection hidden="1"/>
    </xf>
    <xf numFmtId="168" fontId="5" fillId="5" borderId="21" xfId="1" applyNumberFormat="1" applyFont="1" applyFill="1" applyBorder="1" applyAlignment="1" applyProtection="1">
      <alignment horizontal="center"/>
      <protection hidden="1"/>
    </xf>
    <xf numFmtId="168" fontId="5" fillId="5" borderId="5" xfId="1" applyNumberFormat="1" applyFont="1" applyFill="1" applyBorder="1" applyAlignment="1" applyProtection="1">
      <alignment horizontal="center"/>
      <protection hidden="1"/>
    </xf>
    <xf numFmtId="3" fontId="15" fillId="4" borderId="6" xfId="4" applyNumberFormat="1" applyFont="1" applyFill="1" applyBorder="1" applyAlignment="1" applyProtection="1">
      <alignment horizontal="center" vertical="center"/>
      <protection hidden="1"/>
    </xf>
    <xf numFmtId="3" fontId="15" fillId="4" borderId="117" xfId="4" applyNumberFormat="1" applyFont="1" applyFill="1" applyBorder="1" applyAlignment="1" applyProtection="1">
      <alignment horizontal="center" vertical="center"/>
      <protection hidden="1"/>
    </xf>
    <xf numFmtId="3" fontId="16" fillId="0" borderId="6" xfId="4" applyNumberFormat="1" applyFont="1" applyBorder="1" applyAlignment="1" applyProtection="1">
      <alignment horizontal="center" vertical="center"/>
      <protection hidden="1"/>
    </xf>
    <xf numFmtId="3" fontId="16" fillId="0" borderId="117" xfId="4" applyNumberFormat="1" applyFont="1" applyBorder="1" applyAlignment="1" applyProtection="1">
      <alignment horizontal="center" vertical="center"/>
      <protection hidden="1"/>
    </xf>
    <xf numFmtId="3" fontId="13" fillId="0" borderId="7" xfId="4" applyNumberFormat="1" applyBorder="1" applyAlignment="1" applyProtection="1">
      <alignment horizontal="center" vertical="center"/>
      <protection hidden="1"/>
    </xf>
    <xf numFmtId="3" fontId="13" fillId="0" borderId="120" xfId="4" applyNumberFormat="1" applyBorder="1" applyAlignment="1" applyProtection="1">
      <alignment horizontal="center" vertical="center"/>
      <protection hidden="1"/>
    </xf>
    <xf numFmtId="0" fontId="6" fillId="0" borderId="119" xfId="4" applyFont="1" applyBorder="1" applyAlignment="1" applyProtection="1">
      <alignment horizontal="left"/>
      <protection hidden="1"/>
    </xf>
    <xf numFmtId="0" fontId="6" fillId="0" borderId="117" xfId="4" applyFont="1" applyBorder="1" applyAlignment="1" applyProtection="1">
      <alignment horizontal="left"/>
      <protection hidden="1"/>
    </xf>
    <xf numFmtId="168" fontId="5" fillId="5" borderId="21" xfId="4" applyNumberFormat="1" applyFont="1" applyFill="1" applyBorder="1" applyAlignment="1" applyProtection="1">
      <alignment horizontal="center"/>
      <protection hidden="1"/>
    </xf>
    <xf numFmtId="168" fontId="5" fillId="5" borderId="5" xfId="4" applyNumberFormat="1" applyFont="1" applyFill="1" applyBorder="1" applyAlignment="1" applyProtection="1">
      <alignment horizontal="center"/>
      <protection hidden="1"/>
    </xf>
    <xf numFmtId="0" fontId="6" fillId="0" borderId="21" xfId="4" applyFont="1" applyBorder="1" applyAlignment="1" applyProtection="1">
      <alignment horizontal="left" vertical="center"/>
      <protection hidden="1"/>
    </xf>
    <xf numFmtId="0" fontId="6" fillId="0" borderId="4" xfId="4" applyFont="1" applyBorder="1" applyAlignment="1" applyProtection="1">
      <alignment horizontal="left" vertical="center"/>
      <protection hidden="1"/>
    </xf>
    <xf numFmtId="0" fontId="6" fillId="0" borderId="5" xfId="4" applyFont="1" applyBorder="1" applyAlignment="1" applyProtection="1">
      <alignment horizontal="left" vertical="center"/>
      <protection hidden="1"/>
    </xf>
    <xf numFmtId="169" fontId="5" fillId="5" borderId="21" xfId="1" applyNumberFormat="1" applyFont="1" applyFill="1" applyBorder="1" applyAlignment="1" applyProtection="1">
      <alignment horizontal="center" vertical="center"/>
      <protection hidden="1"/>
    </xf>
    <xf numFmtId="169" fontId="5" fillId="5" borderId="5" xfId="1" applyNumberFormat="1" applyFont="1" applyFill="1" applyBorder="1" applyAlignment="1" applyProtection="1">
      <alignment horizontal="center" vertical="center"/>
      <protection hidden="1"/>
    </xf>
    <xf numFmtId="16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124" xfId="4" applyFont="1" applyBorder="1" applyAlignment="1" applyProtection="1">
      <alignment horizontal="center"/>
      <protection hidden="1"/>
    </xf>
    <xf numFmtId="0" fontId="5" fillId="0" borderId="0" xfId="4" applyFont="1" applyAlignment="1" applyProtection="1">
      <alignment horizontal="center"/>
      <protection hidden="1"/>
    </xf>
    <xf numFmtId="0" fontId="5" fillId="0" borderId="127" xfId="4" applyFont="1" applyBorder="1" applyAlignment="1" applyProtection="1">
      <alignment horizontal="center"/>
      <protection hidden="1"/>
    </xf>
    <xf numFmtId="0" fontId="13" fillId="0" borderId="128" xfId="4" applyBorder="1" applyAlignment="1" applyProtection="1">
      <alignment horizontal="center"/>
      <protection hidden="1"/>
    </xf>
    <xf numFmtId="0" fontId="13" fillId="0" borderId="1" xfId="4" applyBorder="1" applyAlignment="1" applyProtection="1">
      <alignment horizontal="center"/>
      <protection hidden="1"/>
    </xf>
    <xf numFmtId="0" fontId="13" fillId="0" borderId="129" xfId="4" applyBorder="1" applyAlignment="1" applyProtection="1">
      <alignment horizontal="center"/>
      <protection hidden="1"/>
    </xf>
    <xf numFmtId="0" fontId="13" fillId="6" borderId="3" xfId="4" applyFill="1" applyBorder="1" applyAlignment="1" applyProtection="1">
      <alignment horizontal="center" vertical="center" wrapText="1"/>
      <protection hidden="1"/>
    </xf>
    <xf numFmtId="0" fontId="13" fillId="6" borderId="4" xfId="4" applyFill="1" applyBorder="1" applyAlignment="1" applyProtection="1">
      <alignment horizontal="center" vertical="center" wrapText="1"/>
      <protection hidden="1"/>
    </xf>
    <xf numFmtId="0" fontId="13" fillId="6" borderId="121" xfId="4" applyFill="1" applyBorder="1" applyAlignment="1" applyProtection="1">
      <alignment horizontal="center" vertical="center" wrapText="1"/>
      <protection hidden="1"/>
    </xf>
    <xf numFmtId="0" fontId="15" fillId="6" borderId="126" xfId="4" applyFont="1" applyFill="1" applyBorder="1" applyAlignment="1" applyProtection="1">
      <alignment horizontal="center" vertical="center" wrapText="1"/>
      <protection hidden="1"/>
    </xf>
    <xf numFmtId="0" fontId="15" fillId="6" borderId="14" xfId="4" applyFont="1" applyFill="1" applyBorder="1" applyAlignment="1" applyProtection="1">
      <alignment horizontal="center" vertical="center" wrapText="1"/>
      <protection hidden="1"/>
    </xf>
    <xf numFmtId="0" fontId="15" fillId="6" borderId="48" xfId="4" applyFont="1" applyFill="1" applyBorder="1" applyAlignment="1" applyProtection="1">
      <alignment horizontal="center" vertical="center" wrapText="1"/>
      <protection hidden="1"/>
    </xf>
    <xf numFmtId="0" fontId="15" fillId="6" borderId="6" xfId="4" applyFont="1" applyFill="1" applyBorder="1" applyAlignment="1" applyProtection="1">
      <alignment horizontal="center" vertical="center" wrapText="1"/>
      <protection hidden="1"/>
    </xf>
    <xf numFmtId="0" fontId="5" fillId="0" borderId="21" xfId="4" applyFont="1" applyBorder="1" applyAlignment="1" applyProtection="1">
      <alignment horizontal="center"/>
      <protection hidden="1"/>
    </xf>
    <xf numFmtId="0" fontId="5" fillId="0" borderId="4" xfId="4" applyFont="1" applyBorder="1" applyAlignment="1" applyProtection="1">
      <alignment horizontal="center"/>
      <protection hidden="1"/>
    </xf>
    <xf numFmtId="0" fontId="5" fillId="0" borderId="5" xfId="4" applyFont="1" applyBorder="1" applyAlignment="1" applyProtection="1">
      <alignment horizontal="center"/>
      <protection hidden="1"/>
    </xf>
    <xf numFmtId="170" fontId="5" fillId="19" borderId="3" xfId="1" applyNumberFormat="1" applyFont="1" applyFill="1" applyBorder="1" applyAlignment="1" applyProtection="1">
      <alignment horizontal="center"/>
      <protection hidden="1"/>
    </xf>
    <xf numFmtId="170" fontId="5" fillId="19" borderId="4" xfId="1" applyNumberFormat="1" applyFont="1" applyFill="1" applyBorder="1" applyAlignment="1" applyProtection="1">
      <alignment horizontal="center"/>
      <protection hidden="1"/>
    </xf>
    <xf numFmtId="170" fontId="5" fillId="19" borderId="121" xfId="1" applyNumberFormat="1" applyFont="1" applyFill="1" applyBorder="1" applyAlignment="1" applyProtection="1">
      <alignment horizontal="center"/>
      <protection hidden="1"/>
    </xf>
    <xf numFmtId="170" fontId="15" fillId="6" borderId="122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24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22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21" xfId="4" applyNumberFormat="1" applyFont="1" applyFill="1" applyBorder="1" applyAlignment="1" applyProtection="1">
      <alignment horizontal="center" vertical="center" wrapText="1"/>
      <protection hidden="1"/>
    </xf>
    <xf numFmtId="170" fontId="15" fillId="6" borderId="4" xfId="4" applyNumberFormat="1" applyFont="1" applyFill="1" applyBorder="1" applyAlignment="1" applyProtection="1">
      <alignment horizontal="center" vertical="center" wrapText="1"/>
      <protection hidden="1"/>
    </xf>
    <xf numFmtId="170" fontId="15" fillId="6" borderId="5" xfId="4" applyNumberFormat="1" applyFont="1" applyFill="1" applyBorder="1" applyAlignment="1" applyProtection="1">
      <alignment horizontal="center" vertical="center" wrapText="1"/>
      <protection hidden="1"/>
    </xf>
    <xf numFmtId="170" fontId="15" fillId="6" borderId="123" xfId="4" applyNumberFormat="1" applyFont="1" applyFill="1" applyBorder="1" applyAlignment="1" applyProtection="1">
      <alignment horizontal="center" vertical="center" wrapText="1"/>
      <protection hidden="1"/>
    </xf>
    <xf numFmtId="170" fontId="15" fillId="6" borderId="26" xfId="4" applyNumberFormat="1" applyFont="1" applyFill="1" applyBorder="1" applyAlignment="1" applyProtection="1">
      <alignment horizontal="center" vertical="center" wrapText="1"/>
      <protection hidden="1"/>
    </xf>
    <xf numFmtId="0" fontId="5" fillId="19" borderId="14" xfId="4" applyFont="1" applyFill="1" applyBorder="1" applyAlignment="1" applyProtection="1">
      <alignment horizontal="center"/>
      <protection hidden="1"/>
    </xf>
    <xf numFmtId="0" fontId="6" fillId="0" borderId="21" xfId="4" applyFont="1" applyBorder="1" applyAlignment="1" applyProtection="1">
      <alignment horizontal="center"/>
      <protection hidden="1"/>
    </xf>
    <xf numFmtId="0" fontId="6" fillId="0" borderId="4" xfId="4" applyFont="1" applyBorder="1" applyAlignment="1" applyProtection="1">
      <alignment horizontal="center"/>
      <protection hidden="1"/>
    </xf>
    <xf numFmtId="0" fontId="6" fillId="0" borderId="5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15" fillId="6" borderId="116" xfId="4" applyFont="1" applyFill="1" applyBorder="1" applyAlignment="1" applyProtection="1">
      <alignment horizontal="center" vertical="center" wrapText="1"/>
      <protection hidden="1"/>
    </xf>
    <xf numFmtId="0" fontId="15" fillId="6" borderId="8" xfId="4" applyFont="1" applyFill="1" applyBorder="1" applyAlignment="1" applyProtection="1">
      <alignment horizontal="center" vertical="center" wrapText="1"/>
      <protection hidden="1"/>
    </xf>
    <xf numFmtId="0" fontId="13" fillId="6" borderId="124" xfId="4" applyFill="1" applyBorder="1" applyAlignment="1" applyProtection="1">
      <alignment horizontal="center" vertical="center" wrapText="1"/>
      <protection hidden="1"/>
    </xf>
    <xf numFmtId="0" fontId="13" fillId="6" borderId="0" xfId="4" applyFill="1" applyAlignment="1" applyProtection="1">
      <alignment horizontal="center" vertical="center" wrapText="1"/>
      <protection hidden="1"/>
    </xf>
    <xf numFmtId="0" fontId="13" fillId="6" borderId="125" xfId="4" applyFill="1" applyBorder="1" applyAlignment="1" applyProtection="1">
      <alignment horizontal="center" vertical="center" wrapText="1"/>
      <protection hidden="1"/>
    </xf>
    <xf numFmtId="170" fontId="15" fillId="6" borderId="118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19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20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3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4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5" xfId="4" applyNumberFormat="1" applyFont="1" applyFill="1" applyBorder="1" applyAlignment="1" applyProtection="1">
      <alignment horizontal="right" vertical="center" wrapText="1"/>
      <protection hidden="1"/>
    </xf>
    <xf numFmtId="170" fontId="15" fillId="6" borderId="48" xfId="4" applyNumberFormat="1" applyFont="1" applyFill="1" applyBorder="1" applyAlignment="1" applyProtection="1">
      <alignment horizontal="center" vertical="center" wrapText="1"/>
      <protection hidden="1"/>
    </xf>
    <xf numFmtId="170" fontId="15" fillId="6" borderId="121" xfId="4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4" fillId="0" borderId="47" xfId="0" applyFont="1" applyBorder="1" applyAlignment="1">
      <alignment horizontal="left"/>
    </xf>
    <xf numFmtId="0" fontId="34" fillId="0" borderId="128" xfId="0" applyFont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6" fillId="0" borderId="128" xfId="0" applyFont="1" applyBorder="1" applyAlignment="1">
      <alignment horizontal="center" vertical="center" wrapText="1"/>
    </xf>
    <xf numFmtId="0" fontId="36" fillId="0" borderId="122" xfId="0" applyFont="1" applyBorder="1" applyAlignment="1">
      <alignment horizontal="center" vertical="center" wrapText="1"/>
    </xf>
    <xf numFmtId="0" fontId="36" fillId="0" borderId="141" xfId="0" applyFont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0" fontId="36" fillId="0" borderId="125" xfId="0" applyFont="1" applyBorder="1" applyAlignment="1">
      <alignment horizontal="right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134" xfId="0" applyFont="1" applyBorder="1" applyAlignment="1">
      <alignment horizontal="center" vertical="center" wrapText="1"/>
    </xf>
    <xf numFmtId="0" fontId="34" fillId="0" borderId="143" xfId="0" applyFont="1" applyBorder="1" applyAlignment="1">
      <alignment horizontal="center" vertical="center" wrapText="1"/>
    </xf>
    <xf numFmtId="0" fontId="34" fillId="0" borderId="126" xfId="0" applyFont="1" applyBorder="1" applyAlignment="1">
      <alignment horizontal="center" vertical="center" wrapText="1"/>
    </xf>
    <xf numFmtId="0" fontId="34" fillId="0" borderId="137" xfId="0" applyFont="1" applyBorder="1" applyAlignment="1">
      <alignment horizontal="center" vertical="top" wrapText="1"/>
    </xf>
    <xf numFmtId="0" fontId="34" fillId="0" borderId="49" xfId="0" applyFont="1" applyBorder="1" applyAlignment="1">
      <alignment horizontal="center" vertical="top" wrapText="1"/>
    </xf>
    <xf numFmtId="0" fontId="34" fillId="0" borderId="128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134" xfId="0" applyFont="1" applyBorder="1" applyAlignment="1">
      <alignment horizontal="center" wrapText="1"/>
    </xf>
    <xf numFmtId="0" fontId="34" fillId="0" borderId="142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47" xfId="0" applyFont="1" applyBorder="1" applyAlignment="1">
      <alignment horizontal="center"/>
    </xf>
    <xf numFmtId="0" fontId="48" fillId="0" borderId="124" xfId="0" applyFont="1" applyBorder="1" applyAlignment="1">
      <alignment horizontal="center" vertical="top" wrapText="1"/>
    </xf>
    <xf numFmtId="0" fontId="48" fillId="0" borderId="0" xfId="0" applyFont="1" applyAlignment="1">
      <alignment horizontal="center" vertical="top" wrapText="1"/>
    </xf>
    <xf numFmtId="0" fontId="34" fillId="0" borderId="1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24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</cellXfs>
  <cellStyles count="6">
    <cellStyle name="Binlik Ayracı 2" xfId="1"/>
    <cellStyle name="Normal" xfId="0" builtinId="0"/>
    <cellStyle name="Normal 2" xfId="2"/>
    <cellStyle name="Normal 3" xfId="3"/>
    <cellStyle name="Normal 4" xfId="4"/>
    <cellStyle name="Virgül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gdb.odu.edu.tr/files/Maa&#351;%20Bor&#231;land&#305;rmas&#305;%20Pro&#287;ram&#305;%20ve%20Ekleri%20G&#252;ncelleme%2010.10.2013dene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 Girişi - Bordro"/>
      <sheetName val="EK-1"/>
      <sheetName val="Üst Yazı SGK"/>
      <sheetName val="Bildirim"/>
      <sheetName val="5510 Sonrası SGK"/>
      <sheetName val="Faiz Hesaplama"/>
    </sheetNames>
    <sheetDataSet>
      <sheetData sheetId="0">
        <row r="33">
          <cell r="O33">
            <v>6.0000000000000001E-3</v>
          </cell>
        </row>
        <row r="39">
          <cell r="O39">
            <v>0</v>
          </cell>
        </row>
        <row r="41">
          <cell r="M41">
            <v>20</v>
          </cell>
        </row>
        <row r="44">
          <cell r="D44">
            <v>10</v>
          </cell>
        </row>
        <row r="48">
          <cell r="M48">
            <v>103.72</v>
          </cell>
        </row>
        <row r="53">
          <cell r="L53">
            <v>481.25</v>
          </cell>
          <cell r="M53">
            <v>10</v>
          </cell>
        </row>
        <row r="54">
          <cell r="C54">
            <v>30</v>
          </cell>
          <cell r="M54">
            <v>20</v>
          </cell>
        </row>
        <row r="55">
          <cell r="C55">
            <v>0</v>
          </cell>
        </row>
        <row r="56">
          <cell r="J56" t="str">
            <v>Yararlanmıyor</v>
          </cell>
        </row>
        <row r="57">
          <cell r="C57">
            <v>41379</v>
          </cell>
          <cell r="J57" t="str">
            <v>Yapmayacak</v>
          </cell>
        </row>
        <row r="58">
          <cell r="C58">
            <v>41388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5">
    <tabColor rgb="FF00B050"/>
    <pageSetUpPr fitToPage="1"/>
  </sheetPr>
  <dimension ref="A1:AB82"/>
  <sheetViews>
    <sheetView showGridLines="0" tabSelected="1" zoomScaleNormal="100" zoomScaleSheetLayoutView="100" zoomScalePageLayoutView="85" workbookViewId="0">
      <selection activeCell="C5" sqref="C5"/>
    </sheetView>
  </sheetViews>
  <sheetFormatPr defaultRowHeight="13.7" customHeight="1" x14ac:dyDescent="0.2"/>
  <cols>
    <col min="1" max="1" width="9.140625" style="6"/>
    <col min="2" max="2" width="16.7109375" style="6" customWidth="1"/>
    <col min="3" max="3" width="9.28515625" style="6" customWidth="1"/>
    <col min="4" max="4" width="10.5703125" style="6" customWidth="1"/>
    <col min="5" max="5" width="16.85546875" style="6" customWidth="1"/>
    <col min="6" max="6" width="12.140625" style="6" bestFit="1" customWidth="1"/>
    <col min="7" max="7" width="11.42578125" style="6" customWidth="1"/>
    <col min="8" max="8" width="9.140625" style="6" bestFit="1" customWidth="1"/>
    <col min="9" max="9" width="22.140625" style="6" customWidth="1"/>
    <col min="10" max="10" width="9.140625" style="6" bestFit="1" customWidth="1"/>
    <col min="11" max="11" width="9.28515625" style="6" customWidth="1"/>
    <col min="12" max="12" width="11.28515625" style="6" customWidth="1"/>
    <col min="13" max="13" width="14.7109375" style="7" hidden="1" customWidth="1"/>
    <col min="14" max="14" width="21.7109375" style="7" hidden="1" customWidth="1"/>
    <col min="15" max="15" width="14.42578125" style="7" hidden="1" customWidth="1"/>
    <col min="16" max="16" width="26" style="7" hidden="1" customWidth="1"/>
    <col min="17" max="17" width="6.42578125" style="6" hidden="1" customWidth="1"/>
    <col min="18" max="18" width="15.5703125" style="6" hidden="1" customWidth="1"/>
    <col min="19" max="19" width="18" style="6" hidden="1" customWidth="1"/>
    <col min="20" max="20" width="10.28515625" style="6" customWidth="1"/>
    <col min="21" max="27" width="9.140625" style="6" customWidth="1"/>
    <col min="28" max="28" width="11.140625" style="6" customWidth="1"/>
    <col min="29" max="29" width="10.42578125" style="6" customWidth="1"/>
    <col min="30" max="16384" width="9.140625" style="6"/>
  </cols>
  <sheetData>
    <row r="1" spans="1:28" ht="15.75" customHeight="1" thickBot="1" x14ac:dyDescent="0.25">
      <c r="M1" s="6"/>
      <c r="N1" s="6"/>
      <c r="O1" s="6"/>
      <c r="P1" s="6"/>
    </row>
    <row r="2" spans="1:28" ht="15.75" customHeight="1" thickTop="1" thickBot="1" x14ac:dyDescent="0.3">
      <c r="A2" s="293" t="s">
        <v>110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5"/>
      <c r="M2" s="230" t="s">
        <v>213</v>
      </c>
      <c r="N2" s="231"/>
      <c r="O2" s="231"/>
      <c r="P2" s="232"/>
      <c r="Q2" s="6">
        <v>2024</v>
      </c>
      <c r="R2" s="6" t="s">
        <v>250</v>
      </c>
      <c r="S2" s="262">
        <v>20002.5</v>
      </c>
    </row>
    <row r="3" spans="1:28" ht="15.75" customHeight="1" x14ac:dyDescent="0.2">
      <c r="A3" s="291" t="s">
        <v>5</v>
      </c>
      <c r="B3" s="292"/>
      <c r="C3" s="285" t="s">
        <v>109</v>
      </c>
      <c r="D3" s="286"/>
      <c r="E3" s="263" t="s">
        <v>231</v>
      </c>
      <c r="F3" s="263"/>
      <c r="G3" s="263"/>
      <c r="H3" s="263"/>
      <c r="I3" s="263"/>
      <c r="J3" s="263"/>
      <c r="K3" s="263"/>
      <c r="L3" s="264"/>
      <c r="M3" s="195">
        <f>F9+F10+F11+F12+F13+F266+F32</f>
        <v>0</v>
      </c>
      <c r="N3" s="95">
        <f>G9+G10+G11+G12+G13+G26+G32</f>
        <v>0</v>
      </c>
      <c r="O3" s="196" t="str">
        <f>IF(g_ver&lt;=M7,"15",IF(g_ver&lt;=M8,"20",IF(g_ver&lt;=M9,"27",IF(g_ver&lt;=M10,"35",IF(g_ver&lt;=M11,"40","Gelir Vergisi Hesaplanamadı")))))</f>
        <v>Gelir Vergisi Hesaplanamadı</v>
      </c>
      <c r="P3" s="197" t="s">
        <v>214</v>
      </c>
      <c r="Q3" s="6">
        <v>2024</v>
      </c>
      <c r="R3" s="6" t="s">
        <v>235</v>
      </c>
      <c r="S3" s="6" t="s">
        <v>249</v>
      </c>
    </row>
    <row r="4" spans="1:28" ht="15.75" customHeight="1" x14ac:dyDescent="0.2">
      <c r="A4" s="291" t="s">
        <v>114</v>
      </c>
      <c r="B4" s="292"/>
      <c r="C4" s="274">
        <v>11</v>
      </c>
      <c r="D4" s="275"/>
      <c r="E4" s="229">
        <v>2024</v>
      </c>
      <c r="F4" s="175"/>
      <c r="G4" s="175"/>
      <c r="H4" s="175"/>
      <c r="I4" s="175"/>
      <c r="J4" s="175"/>
      <c r="K4" s="175"/>
      <c r="L4" s="176"/>
      <c r="M4" s="195">
        <f>C20+J14+J16+J17+(J11-F18)+(J12-F19)</f>
        <v>0</v>
      </c>
      <c r="N4" s="95">
        <f>IF(N3&gt;0,C20+K14+K16+K17+K11-G18+K12-G19,0)</f>
        <v>0</v>
      </c>
      <c r="O4" s="96">
        <f>IF(AND(g_ver&gt;M7,g_ver&lt;M8),g_ver-M7,IF(AND(g_ver&gt;M8,g_ver&lt;M9),g_ver-M8,IF(AND(g_ver&gt;M9,g_ver&lt;M10),g_ver-M9,0)))</f>
        <v>0</v>
      </c>
      <c r="P4" s="198">
        <f>IF(AND(g_ver&gt;M7,g_ver&lt;M8),"5",IF(AND(g_ver&gt;M8,g_ver&lt;M9),"7",IF(AND(g_ver&gt;M9,g_ver&lt;M10),"8",0)))</f>
        <v>0</v>
      </c>
      <c r="Q4" s="6">
        <v>1</v>
      </c>
      <c r="R4" s="6" t="s">
        <v>236</v>
      </c>
      <c r="S4" s="131">
        <v>2550.3200000000002</v>
      </c>
    </row>
    <row r="5" spans="1:28" ht="15.75" customHeight="1" thickBot="1" x14ac:dyDescent="0.25">
      <c r="A5" s="190" t="s">
        <v>115</v>
      </c>
      <c r="B5" s="191"/>
      <c r="C5" s="192" t="s">
        <v>232</v>
      </c>
      <c r="D5" s="193"/>
      <c r="E5" s="193"/>
      <c r="F5" s="193"/>
      <c r="G5" s="193"/>
      <c r="H5" s="193"/>
      <c r="I5" s="194" t="s">
        <v>196</v>
      </c>
      <c r="J5" s="302" t="s">
        <v>206</v>
      </c>
      <c r="K5" s="302"/>
      <c r="L5" s="303"/>
      <c r="M5" s="195">
        <f>M3-M4</f>
        <v>0</v>
      </c>
      <c r="N5" s="95">
        <f>IF(N3&gt;0,N3-N4,0)</f>
        <v>0</v>
      </c>
      <c r="O5" s="95">
        <f>IF(O6&gt;0,M5-O6,)</f>
        <v>0</v>
      </c>
      <c r="P5" s="199" t="s">
        <v>216</v>
      </c>
      <c r="Q5" s="6">
        <v>2</v>
      </c>
      <c r="R5" s="6" t="s">
        <v>237</v>
      </c>
      <c r="S5" s="131">
        <v>2550.3200000000002</v>
      </c>
    </row>
    <row r="6" spans="1:28" ht="12.75" x14ac:dyDescent="0.2">
      <c r="A6" s="279" t="s">
        <v>8</v>
      </c>
      <c r="B6" s="280"/>
      <c r="C6" s="280"/>
      <c r="D6" s="281"/>
      <c r="E6" s="265" t="s">
        <v>9</v>
      </c>
      <c r="F6" s="266"/>
      <c r="G6" s="266"/>
      <c r="H6" s="276"/>
      <c r="I6" s="265" t="s">
        <v>10</v>
      </c>
      <c r="J6" s="266"/>
      <c r="K6" s="266"/>
      <c r="L6" s="267"/>
      <c r="M6" s="195">
        <f>(J9+C21)</f>
        <v>3400.42</v>
      </c>
      <c r="N6" s="96">
        <f>IF(N3&gt;0,ROUND(IF(O4=0,N5*O3%,IF(P4="5",O5*15%+(N5-O5)*20%,IF(P4="7",O5*20%+(N5-O5)*27%,IF(P4="8",O5*27%+(N5-O5)*35%)))),2),0)</f>
        <v>0</v>
      </c>
      <c r="O6" s="95">
        <f>IF(P4&gt;0,O4/P4*100,)</f>
        <v>0</v>
      </c>
      <c r="P6" s="199" t="s">
        <v>215</v>
      </c>
      <c r="Q6" s="6">
        <v>3</v>
      </c>
      <c r="R6" s="6" t="s">
        <v>238</v>
      </c>
      <c r="S6" s="131">
        <v>2550.3200000000002</v>
      </c>
    </row>
    <row r="7" spans="1:28" ht="12.75" x14ac:dyDescent="0.2">
      <c r="A7" s="282"/>
      <c r="B7" s="283"/>
      <c r="C7" s="283"/>
      <c r="D7" s="284"/>
      <c r="E7" s="272" t="s">
        <v>12</v>
      </c>
      <c r="F7" s="270" t="s">
        <v>193</v>
      </c>
      <c r="G7" s="270" t="s">
        <v>194</v>
      </c>
      <c r="H7" s="277" t="s">
        <v>42</v>
      </c>
      <c r="I7" s="272" t="s">
        <v>12</v>
      </c>
      <c r="J7" s="270" t="s">
        <v>43</v>
      </c>
      <c r="K7" s="270" t="s">
        <v>55</v>
      </c>
      <c r="L7" s="298" t="s">
        <v>42</v>
      </c>
      <c r="M7" s="195">
        <f>(ROUND((M5)*15%,2))</f>
        <v>0</v>
      </c>
      <c r="N7" s="96"/>
      <c r="O7" s="96"/>
      <c r="P7" s="199"/>
      <c r="Q7" s="6">
        <v>4</v>
      </c>
      <c r="R7" s="131" t="s">
        <v>239</v>
      </c>
      <c r="S7" s="131">
        <v>2550.3200000000002</v>
      </c>
    </row>
    <row r="8" spans="1:28" ht="15" x14ac:dyDescent="0.2">
      <c r="A8" s="300" t="s">
        <v>11</v>
      </c>
      <c r="B8" s="301"/>
      <c r="C8" s="289"/>
      <c r="D8" s="290"/>
      <c r="E8" s="273"/>
      <c r="F8" s="271"/>
      <c r="G8" s="271"/>
      <c r="H8" s="278"/>
      <c r="I8" s="273"/>
      <c r="J8" s="271"/>
      <c r="K8" s="271"/>
      <c r="L8" s="299"/>
      <c r="M8" s="195">
        <f>(ROUND(M5*20%,2))</f>
        <v>0</v>
      </c>
      <c r="N8" s="96">
        <f>IF(N3&gt;0,IF(Hes.gel.ver.&lt;g_ver,Hes.gel.ver.,g_ver),0)</f>
        <v>0</v>
      </c>
      <c r="O8" s="96"/>
      <c r="P8" s="199"/>
      <c r="Q8" s="6">
        <v>5</v>
      </c>
      <c r="R8" s="131" t="s">
        <v>240</v>
      </c>
      <c r="S8" s="131">
        <v>2550.3200000000002</v>
      </c>
    </row>
    <row r="9" spans="1:28" ht="15" customHeight="1" x14ac:dyDescent="0.2">
      <c r="A9" s="287" t="s">
        <v>13</v>
      </c>
      <c r="B9" s="288"/>
      <c r="C9" s="289"/>
      <c r="D9" s="290"/>
      <c r="E9" s="105" t="s">
        <v>14</v>
      </c>
      <c r="F9" s="180"/>
      <c r="G9" s="189">
        <f t="shared" ref="G9:G14" si="0">ROUND(IF(GörAyrSebebi="Açığa Alınma ( 2 / 3 )",F9/TMAGS*çalışılangün+F9/TMAGS*çalışılmayangün/3*2,IF(TMAGS=çalışılmayangün,0,F9/TMAGS*çalışılangün)),2)</f>
        <v>0</v>
      </c>
      <c r="H9" s="185">
        <f t="shared" ref="H9:H23" si="1">F9-G9</f>
        <v>0</v>
      </c>
      <c r="I9" s="105" t="s">
        <v>15</v>
      </c>
      <c r="J9" s="180"/>
      <c r="K9" s="106">
        <f>KesGelVer-L9</f>
        <v>0</v>
      </c>
      <c r="L9" s="107">
        <f>IF(N10&gt;0,N10,0)</f>
        <v>0</v>
      </c>
      <c r="M9" s="195">
        <f>(ROUND(M5*27%,2))</f>
        <v>0</v>
      </c>
      <c r="N9" s="95">
        <f>IF(N3&gt;0,N8-aüit,0)</f>
        <v>0</v>
      </c>
      <c r="O9" s="95"/>
      <c r="P9" s="199"/>
      <c r="Q9" s="6">
        <v>6</v>
      </c>
      <c r="R9" s="6" t="s">
        <v>241</v>
      </c>
      <c r="S9" s="131">
        <v>2550.3200000000002</v>
      </c>
    </row>
    <row r="10" spans="1:28" ht="15" customHeight="1" x14ac:dyDescent="0.2">
      <c r="A10" s="287" t="s">
        <v>16</v>
      </c>
      <c r="B10" s="288"/>
      <c r="C10" s="289"/>
      <c r="D10" s="290"/>
      <c r="E10" s="105" t="s">
        <v>20</v>
      </c>
      <c r="F10" s="180"/>
      <c r="G10" s="189">
        <f t="shared" si="0"/>
        <v>0</v>
      </c>
      <c r="H10" s="185">
        <f t="shared" si="1"/>
        <v>0</v>
      </c>
      <c r="I10" s="105" t="s">
        <v>18</v>
      </c>
      <c r="J10" s="180"/>
      <c r="K10" s="106">
        <f>IF(ROUND((J10-(H9+H10+H11+H12+H13+H20+H21+H22+H23+H25+H26+H27+H28+H30+H31+H34+H29+H33+H32-bau))*dv,2)&lt;0,0,ROUND((J10-(H9+H10+H11+H12+H13+H20+H21+H22+H23+H25+H26+H27+H28+H30+H31+H34+H29+H33+H32-bau))*dv,2))</f>
        <v>0</v>
      </c>
      <c r="L10" s="107">
        <f>J10-K10</f>
        <v>0</v>
      </c>
      <c r="M10" s="200">
        <f>(ROUND((M5)*35%,2))</f>
        <v>0</v>
      </c>
      <c r="N10" s="201">
        <f>IF(N3=0,KesGelVer,ROUND(IF(AND(GörAyrSebebi="Açığa Alınma ( 2 / 3 )",çalışılangün=0),N9,IF(çalışılmayangün=0,0,IF(çalışılmayangün=0,KesGelVer,IF(Hes.gel.ver.&gt;aüit,KesGelVer-N9,IF(Hes.gel.ver.&lt;=aüit,KesGelVer,KesGelVer))))),2))</f>
        <v>0</v>
      </c>
      <c r="O10" s="201"/>
      <c r="P10" s="202"/>
      <c r="Q10" s="6">
        <v>7</v>
      </c>
      <c r="R10" s="6" t="s">
        <v>242</v>
      </c>
      <c r="S10" s="131">
        <v>3001.06</v>
      </c>
    </row>
    <row r="11" spans="1:28" ht="15" customHeight="1" thickBot="1" x14ac:dyDescent="0.3">
      <c r="A11" s="287" t="s">
        <v>19</v>
      </c>
      <c r="B11" s="288"/>
      <c r="C11" s="289"/>
      <c r="D11" s="290"/>
      <c r="E11" s="105" t="s">
        <v>17</v>
      </c>
      <c r="F11" s="180"/>
      <c r="G11" s="189">
        <f t="shared" si="0"/>
        <v>0</v>
      </c>
      <c r="H11" s="185">
        <f t="shared" si="1"/>
        <v>0</v>
      </c>
      <c r="I11" s="105" t="s">
        <v>125</v>
      </c>
      <c r="J11" s="180"/>
      <c r="K11" s="106">
        <f>ROUND(IF(TMAGS&gt;çalışılmayangün,J11,0),2)</f>
        <v>0</v>
      </c>
      <c r="L11" s="107">
        <f t="shared" ref="L11:L22" si="2">J11-K11</f>
        <v>0</v>
      </c>
      <c r="M11" s="200">
        <f>(ROUND((M5)*40%,2))</f>
        <v>0</v>
      </c>
      <c r="N11" s="201"/>
      <c r="O11" s="201"/>
      <c r="P11" s="202"/>
      <c r="Q11" s="6">
        <v>8</v>
      </c>
      <c r="R11" s="6" t="s">
        <v>243</v>
      </c>
      <c r="S11" s="131">
        <v>3400.42</v>
      </c>
      <c r="AB11"/>
    </row>
    <row r="12" spans="1:28" ht="15" customHeight="1" x14ac:dyDescent="0.25">
      <c r="A12" s="287" t="s">
        <v>22</v>
      </c>
      <c r="B12" s="288"/>
      <c r="C12" s="177"/>
      <c r="D12" s="178"/>
      <c r="E12" s="105" t="s">
        <v>26</v>
      </c>
      <c r="F12" s="180"/>
      <c r="G12" s="189">
        <f t="shared" si="0"/>
        <v>0</v>
      </c>
      <c r="H12" s="185">
        <f t="shared" si="1"/>
        <v>0</v>
      </c>
      <c r="I12" s="105" t="s">
        <v>126</v>
      </c>
      <c r="J12" s="180"/>
      <c r="K12" s="106">
        <f>ROUND(IF(TMAGS&gt;çalışılmayangün,J12,0),2)</f>
        <v>0</v>
      </c>
      <c r="L12" s="107">
        <f>J12-K12</f>
        <v>0</v>
      </c>
      <c r="M12" s="216" t="s">
        <v>145</v>
      </c>
      <c r="N12" s="217"/>
      <c r="O12" s="217"/>
      <c r="P12" s="218"/>
      <c r="Q12" s="6">
        <v>9</v>
      </c>
      <c r="R12" s="6" t="s">
        <v>244</v>
      </c>
      <c r="S12" s="131">
        <v>3400.42</v>
      </c>
    </row>
    <row r="13" spans="1:28" ht="15" customHeight="1" thickBot="1" x14ac:dyDescent="0.25">
      <c r="A13" s="287" t="s">
        <v>25</v>
      </c>
      <c r="B13" s="288"/>
      <c r="C13" s="177"/>
      <c r="D13" s="250"/>
      <c r="E13" s="105" t="s">
        <v>23</v>
      </c>
      <c r="F13" s="180"/>
      <c r="G13" s="189">
        <f t="shared" si="0"/>
        <v>0</v>
      </c>
      <c r="H13" s="185">
        <f t="shared" si="1"/>
        <v>0</v>
      </c>
      <c r="I13" s="105" t="s">
        <v>21</v>
      </c>
      <c r="J13" s="180"/>
      <c r="K13" s="106">
        <f>O29</f>
        <v>0</v>
      </c>
      <c r="L13" s="107">
        <f>J13-K13</f>
        <v>0</v>
      </c>
      <c r="M13" s="203">
        <f>(F9+F10+F11+F12+F13+F20+F21+F22+F23+F25+F26+F27+F28+F30+F31+F34+F29+F14+F33+F32)-bau</f>
        <v>-20002.5</v>
      </c>
      <c r="N13" s="204">
        <f>J10</f>
        <v>0</v>
      </c>
      <c r="O13" s="205">
        <f>ROUND(N13/M13,5)</f>
        <v>0</v>
      </c>
      <c r="P13" s="206" t="s">
        <v>197</v>
      </c>
      <c r="Q13" s="6">
        <v>10</v>
      </c>
      <c r="R13" s="6" t="s">
        <v>245</v>
      </c>
      <c r="S13" s="131">
        <v>3400.42</v>
      </c>
    </row>
    <row r="14" spans="1:28" ht="15" customHeight="1" x14ac:dyDescent="0.2">
      <c r="A14" s="287" t="s">
        <v>27</v>
      </c>
      <c r="B14" s="288"/>
      <c r="C14" s="182"/>
      <c r="D14" s="183"/>
      <c r="E14" s="105" t="s">
        <v>212</v>
      </c>
      <c r="F14" s="180"/>
      <c r="G14" s="189">
        <f t="shared" si="0"/>
        <v>0</v>
      </c>
      <c r="H14" s="185">
        <f t="shared" si="1"/>
        <v>0</v>
      </c>
      <c r="I14" s="105" t="s">
        <v>24</v>
      </c>
      <c r="J14" s="180"/>
      <c r="K14" s="106">
        <f>O30</f>
        <v>0</v>
      </c>
      <c r="L14" s="107">
        <f t="shared" si="2"/>
        <v>0</v>
      </c>
      <c r="M14" s="127">
        <v>10</v>
      </c>
      <c r="N14" s="128">
        <v>2008</v>
      </c>
      <c r="O14" s="129">
        <f>N14+(M14/12)</f>
        <v>2008.8333333333333</v>
      </c>
      <c r="P14" s="133"/>
      <c r="Q14" s="6">
        <v>11</v>
      </c>
      <c r="R14" s="6" t="s">
        <v>246</v>
      </c>
      <c r="S14" s="131">
        <v>3400.42</v>
      </c>
    </row>
    <row r="15" spans="1:28" ht="15" customHeight="1" x14ac:dyDescent="0.2">
      <c r="A15" s="287" t="s">
        <v>28</v>
      </c>
      <c r="B15" s="288"/>
      <c r="C15" s="179"/>
      <c r="D15" s="250"/>
      <c r="E15" s="105" t="s">
        <v>33</v>
      </c>
      <c r="F15" s="180"/>
      <c r="G15" s="189">
        <f>ROUND(IF(GörAyrSebebi="Açığa Alınma ( 2 / 3 )",F15,IF(TMAGS=çalışılmayangün,0,F15)),2)</f>
        <v>0</v>
      </c>
      <c r="H15" s="185">
        <f t="shared" si="1"/>
        <v>0</v>
      </c>
      <c r="I15" s="105" t="s">
        <v>30</v>
      </c>
      <c r="J15" s="180"/>
      <c r="K15" s="106">
        <f>O31</f>
        <v>0</v>
      </c>
      <c r="L15" s="107">
        <f t="shared" si="2"/>
        <v>0</v>
      </c>
      <c r="M15" s="114">
        <f>C4</f>
        <v>11</v>
      </c>
      <c r="N15" s="99">
        <f>E4</f>
        <v>2024</v>
      </c>
      <c r="O15" s="100"/>
      <c r="P15" s="134"/>
      <c r="Q15" s="6">
        <v>12</v>
      </c>
      <c r="R15" s="6" t="s">
        <v>247</v>
      </c>
      <c r="S15" s="131">
        <v>3400.42</v>
      </c>
    </row>
    <row r="16" spans="1:28" ht="15" customHeight="1" x14ac:dyDescent="0.2">
      <c r="A16" s="287" t="s">
        <v>17</v>
      </c>
      <c r="B16" s="288"/>
      <c r="C16" s="268"/>
      <c r="D16" s="269"/>
      <c r="E16" s="105" t="s">
        <v>35</v>
      </c>
      <c r="F16" s="180"/>
      <c r="G16" s="189">
        <f>ROUND(IF(GörAyrSebebi="Açığa Alınma ( 2 / 3 )",F16,IF(TMAGS=çalışılmayangün,0,F16)),2)</f>
        <v>0</v>
      </c>
      <c r="H16" s="185">
        <f t="shared" si="1"/>
        <v>0</v>
      </c>
      <c r="I16" s="105" t="s">
        <v>32</v>
      </c>
      <c r="J16" s="180"/>
      <c r="K16" s="106">
        <f>O32</f>
        <v>0</v>
      </c>
      <c r="L16" s="107">
        <f t="shared" si="2"/>
        <v>0</v>
      </c>
      <c r="M16" s="115">
        <f>C14</f>
        <v>0</v>
      </c>
      <c r="N16" s="99">
        <f>D14</f>
        <v>0</v>
      </c>
      <c r="O16" s="100"/>
      <c r="P16" s="134"/>
    </row>
    <row r="17" spans="1:17" ht="15" customHeight="1" x14ac:dyDescent="0.2">
      <c r="A17" s="287" t="s">
        <v>128</v>
      </c>
      <c r="B17" s="288"/>
      <c r="C17" s="179"/>
      <c r="D17" s="250"/>
      <c r="E17" s="105" t="s">
        <v>44</v>
      </c>
      <c r="F17" s="180"/>
      <c r="G17" s="189">
        <f>O27</f>
        <v>0</v>
      </c>
      <c r="H17" s="185">
        <f t="shared" si="1"/>
        <v>0</v>
      </c>
      <c r="I17" s="105" t="s">
        <v>57</v>
      </c>
      <c r="J17" s="180"/>
      <c r="K17" s="106">
        <f t="shared" ref="K17:K22" si="3">J17</f>
        <v>0</v>
      </c>
      <c r="L17" s="107">
        <f t="shared" si="2"/>
        <v>0</v>
      </c>
      <c r="M17" s="115">
        <f>M15-M16</f>
        <v>11</v>
      </c>
      <c r="N17" s="99">
        <f>N15-N16</f>
        <v>2024</v>
      </c>
      <c r="O17" s="100"/>
      <c r="P17" s="134"/>
    </row>
    <row r="18" spans="1:17" ht="15" customHeight="1" x14ac:dyDescent="0.2">
      <c r="A18" s="287" t="s">
        <v>127</v>
      </c>
      <c r="B18" s="288"/>
      <c r="C18" s="268"/>
      <c r="D18" s="269"/>
      <c r="E18" s="105" t="s">
        <v>31</v>
      </c>
      <c r="F18" s="180"/>
      <c r="G18" s="189">
        <f>ROUND(IF(TMAGS=çalışmadığıgün_sgk,0,IF(emeklilik_kanunu=0,F18,F18/N23*(N23-çalışmadığıgün_sgk))),2)</f>
        <v>0</v>
      </c>
      <c r="H18" s="185">
        <f t="shared" si="1"/>
        <v>0</v>
      </c>
      <c r="I18" s="105" t="s">
        <v>53</v>
      </c>
      <c r="J18" s="180"/>
      <c r="K18" s="106">
        <f t="shared" si="3"/>
        <v>0</v>
      </c>
      <c r="L18" s="107">
        <f t="shared" si="2"/>
        <v>0</v>
      </c>
      <c r="M18" s="115">
        <f>MONTH(C26)</f>
        <v>1</v>
      </c>
      <c r="N18" s="99">
        <f>YEAR(C26)</f>
        <v>1900</v>
      </c>
      <c r="O18" s="100">
        <f>N18+(M18/12)</f>
        <v>1900.0833333333333</v>
      </c>
      <c r="P18" s="247" t="s">
        <v>223</v>
      </c>
    </row>
    <row r="19" spans="1:17" ht="15" customHeight="1" x14ac:dyDescent="0.2">
      <c r="A19" s="287" t="s">
        <v>34</v>
      </c>
      <c r="B19" s="288"/>
      <c r="C19" s="268"/>
      <c r="D19" s="269"/>
      <c r="E19" s="105" t="s">
        <v>29</v>
      </c>
      <c r="F19" s="180"/>
      <c r="G19" s="189">
        <f>ROUND(IF(TMAGS=çalışmadığıgün_sgk,0,IF(emeklilik_kanunu=0,F19,F19/N23*(N23-çalışmadığıgün_sgk))),2)</f>
        <v>0</v>
      </c>
      <c r="H19" s="185">
        <f t="shared" si="1"/>
        <v>0</v>
      </c>
      <c r="I19" s="105" t="s">
        <v>56</v>
      </c>
      <c r="J19" s="180"/>
      <c r="K19" s="106">
        <f t="shared" si="3"/>
        <v>0</v>
      </c>
      <c r="L19" s="107">
        <f t="shared" si="2"/>
        <v>0</v>
      </c>
      <c r="M19" s="115"/>
      <c r="N19" s="99"/>
      <c r="O19" s="99" t="str">
        <f>IF(O18&lt;O14,"5434_sk","5510_sk")</f>
        <v>5434_sk</v>
      </c>
      <c r="P19" s="248"/>
    </row>
    <row r="20" spans="1:17" ht="15" customHeight="1" thickBot="1" x14ac:dyDescent="0.25">
      <c r="A20" s="287" t="s">
        <v>36</v>
      </c>
      <c r="B20" s="288"/>
      <c r="C20" s="296"/>
      <c r="D20" s="297"/>
      <c r="E20" s="105" t="s">
        <v>123</v>
      </c>
      <c r="F20" s="180"/>
      <c r="G20" s="189">
        <f>ROUND(IF(GörAyrSebebi="Açığa Alınma ( 2 / 3 )",F20/TMAGS*çalışılangün+F20/TMAGS*çalışılmayangün/3*2,IF(TMAGS=çalışılmayangün,0,F20/TMAGS*çalışılangün)),2)</f>
        <v>0</v>
      </c>
      <c r="H20" s="185">
        <f t="shared" si="1"/>
        <v>0</v>
      </c>
      <c r="I20" s="105" t="s">
        <v>54</v>
      </c>
      <c r="J20" s="180"/>
      <c r="K20" s="106">
        <f t="shared" si="3"/>
        <v>0</v>
      </c>
      <c r="L20" s="107">
        <f t="shared" si="2"/>
        <v>0</v>
      </c>
      <c r="M20" s="116" t="s">
        <v>63</v>
      </c>
      <c r="N20" s="101"/>
      <c r="O20" s="101"/>
      <c r="P20" s="135"/>
    </row>
    <row r="21" spans="1:17" ht="15" customHeight="1" thickTop="1" x14ac:dyDescent="0.25">
      <c r="A21" s="287" t="s">
        <v>234</v>
      </c>
      <c r="B21" s="288"/>
      <c r="C21" s="312">
        <f>VLOOKUP(C4,Q4:S15,3)</f>
        <v>3400.42</v>
      </c>
      <c r="D21" s="313"/>
      <c r="E21" s="105" t="s">
        <v>51</v>
      </c>
      <c r="F21" s="180"/>
      <c r="G21" s="189">
        <f>ROUND(IF(GörAyrSebebi="Açığa Alınma ( 2 / 3 )",F21/TMAGS*çalışılangün+F21/TMAGS*çalışılmayangün/3*2,IF(TMAGS=çalışılmayangün,0,F21/TMAGS*çalışılangün)),2)</f>
        <v>0</v>
      </c>
      <c r="H21" s="185">
        <f t="shared" si="1"/>
        <v>0</v>
      </c>
      <c r="I21" s="105" t="s">
        <v>226</v>
      </c>
      <c r="J21" s="180"/>
      <c r="K21" s="106">
        <f t="shared" si="3"/>
        <v>0</v>
      </c>
      <c r="L21" s="107">
        <f t="shared" si="2"/>
        <v>0</v>
      </c>
      <c r="M21" s="207">
        <f>IF(TMAGS=31,30-çalışmadığıgün_sgk,TMAGS-çalışmadığıgün_sgk)</f>
        <v>1</v>
      </c>
      <c r="N21" s="210" t="s">
        <v>217</v>
      </c>
      <c r="O21" s="211"/>
      <c r="P21" s="212"/>
    </row>
    <row r="22" spans="1:17" ht="15" customHeight="1" thickBot="1" x14ac:dyDescent="0.3">
      <c r="A22" s="287" t="s">
        <v>233</v>
      </c>
      <c r="B22" s="288"/>
      <c r="C22" s="312">
        <f>S2</f>
        <v>20002.5</v>
      </c>
      <c r="D22" s="313"/>
      <c r="E22" s="105" t="s">
        <v>39</v>
      </c>
      <c r="F22" s="180"/>
      <c r="G22" s="189">
        <f>ROUND(IF(GörAyrSebebi="Açığa Alınma ( 2 / 3 )",F22/TMAGS*çalışılangün+F22/TMAGS*çalışılmayangün/3*2,IF(TMAGS=çalışılmayangün,0,F22/TMAGS*çalışılangün)),2)</f>
        <v>0</v>
      </c>
      <c r="H22" s="185">
        <f t="shared" si="1"/>
        <v>0</v>
      </c>
      <c r="I22" s="109" t="s">
        <v>58</v>
      </c>
      <c r="J22" s="180"/>
      <c r="K22" s="110">
        <f t="shared" si="3"/>
        <v>0</v>
      </c>
      <c r="L22" s="111">
        <f t="shared" si="2"/>
        <v>0</v>
      </c>
      <c r="M22" s="208">
        <f>IF(M23&gt;0,M23,0)</f>
        <v>29</v>
      </c>
      <c r="N22" s="213" t="s">
        <v>138</v>
      </c>
      <c r="O22" s="214"/>
      <c r="P22" s="215"/>
    </row>
    <row r="23" spans="1:17" ht="15" customHeight="1" thickBot="1" x14ac:dyDescent="0.3">
      <c r="A23" s="287" t="s">
        <v>38</v>
      </c>
      <c r="B23" s="288"/>
      <c r="C23" s="296"/>
      <c r="D23" s="297"/>
      <c r="E23" s="105" t="s">
        <v>45</v>
      </c>
      <c r="F23" s="180"/>
      <c r="G23" s="189">
        <f>ROUND(IF(GörAyrSebebi="Açığa Alınma ( 2 / 3 )",F23/TMAGS*çalışılangün+F23/TMAGS*çalışılmayangün/3*2,IF(TMAGS=çalışılmayangün,0,F23/TMAGS*çalışılangün)),2)</f>
        <v>0</v>
      </c>
      <c r="H23" s="185">
        <f t="shared" si="1"/>
        <v>0</v>
      </c>
      <c r="I23" s="119" t="s">
        <v>6</v>
      </c>
      <c r="J23" s="139">
        <f>SUM(F9:F34)</f>
        <v>0</v>
      </c>
      <c r="K23" s="120">
        <f>SUM(G9:G34)</f>
        <v>0</v>
      </c>
      <c r="L23" s="121">
        <f>SUM(H9:H34)</f>
        <v>0</v>
      </c>
      <c r="M23" s="209">
        <f>IF(GAT&lt;MÖT,N23,IF(MÖT=GAT,N23-1,IF(TMAGS=31,(TMAGS-2)-(GAT-MÖT),((TMAGS-1)-(GAT-MÖT)))))</f>
        <v>29</v>
      </c>
      <c r="N23" s="97">
        <f>IF(TMAGS=31,(TMAGS-1),TMAGS)</f>
        <v>30</v>
      </c>
      <c r="O23" s="98" t="s">
        <v>220</v>
      </c>
      <c r="P23" s="136"/>
    </row>
    <row r="24" spans="1:17" ht="15" customHeight="1" thickTop="1" thickBot="1" x14ac:dyDescent="0.25">
      <c r="A24" s="287" t="s">
        <v>129</v>
      </c>
      <c r="B24" s="288"/>
      <c r="C24" s="296"/>
      <c r="D24" s="297"/>
      <c r="E24" s="105" t="s">
        <v>46</v>
      </c>
      <c r="F24" s="180"/>
      <c r="G24" s="189">
        <f>O28</f>
        <v>0</v>
      </c>
      <c r="H24" s="185">
        <f t="shared" ref="H24:H34" si="4">F24-G24</f>
        <v>0</v>
      </c>
      <c r="I24" s="122" t="s">
        <v>7</v>
      </c>
      <c r="J24" s="123">
        <f>SUM(J9:J22)</f>
        <v>0</v>
      </c>
      <c r="K24" s="124">
        <f>SUM(K9:K22)</f>
        <v>0</v>
      </c>
      <c r="L24" s="125">
        <f>SUM(L9:L22)</f>
        <v>0</v>
      </c>
      <c r="M24" s="117">
        <f>IF(GAT-MÖT&gt;TMAGS,TMAGS,IF(MÖT=GAT,1,IF(GAT&gt;MÖT,GAT-MÖT+1,0)))</f>
        <v>1</v>
      </c>
      <c r="N24" s="112" t="s">
        <v>218</v>
      </c>
      <c r="O24" s="112"/>
      <c r="P24" s="137"/>
    </row>
    <row r="25" spans="1:17" ht="15" customHeight="1" thickBot="1" x14ac:dyDescent="0.25">
      <c r="A25" s="300" t="s">
        <v>130</v>
      </c>
      <c r="B25" s="301"/>
      <c r="C25" s="306"/>
      <c r="D25" s="307"/>
      <c r="E25" s="105" t="s">
        <v>47</v>
      </c>
      <c r="F25" s="180"/>
      <c r="G25" s="189">
        <f>ROUND(IF(GörAyrSebebi="Açığa Alınma ( 2 / 3 )",F25/TMAGS*çalışılangün+F25/TMAGS*çalışılmayangün/3*2,IF(TMAGS=çalışılmayangün,0,F25/TMAGS*çalışılangün)),2)</f>
        <v>0</v>
      </c>
      <c r="H25" s="185">
        <f t="shared" si="4"/>
        <v>0</v>
      </c>
      <c r="I25" s="122" t="s">
        <v>37</v>
      </c>
      <c r="J25" s="123">
        <f>J23-J24</f>
        <v>0</v>
      </c>
      <c r="K25" s="249"/>
      <c r="L25" s="125">
        <f>L23-L24</f>
        <v>0</v>
      </c>
      <c r="M25" s="118">
        <f>TMAGS-çalışılangün</f>
        <v>30</v>
      </c>
      <c r="N25" s="113" t="s">
        <v>219</v>
      </c>
      <c r="O25" s="113"/>
      <c r="P25" s="138"/>
    </row>
    <row r="26" spans="1:17" ht="15" customHeight="1" thickBot="1" x14ac:dyDescent="0.25">
      <c r="A26" s="300" t="s">
        <v>134</v>
      </c>
      <c r="B26" s="301"/>
      <c r="C26" s="308"/>
      <c r="D26" s="309"/>
      <c r="E26" s="105" t="s">
        <v>48</v>
      </c>
      <c r="F26" s="180"/>
      <c r="G26" s="189">
        <f>ROUND(IF(GörAyrSebebi="Açığa Alınma ( 2 / 3 )",F26/TMAGS*çalışılangün,IF(TMAGS=çalışılmayangün,0,F26/TMAGS*çalışılangün)),2)</f>
        <v>0</v>
      </c>
      <c r="H26" s="185">
        <f t="shared" si="4"/>
        <v>0</v>
      </c>
      <c r="I26" s="122" t="s">
        <v>136</v>
      </c>
      <c r="J26" s="310" t="s">
        <v>135</v>
      </c>
      <c r="K26" s="310"/>
      <c r="L26" s="311"/>
      <c r="M26" s="233">
        <f>DAY(DATE(YEAR(MÖT),MONTH(MÖT)+1,0))</f>
        <v>31</v>
      </c>
      <c r="N26" s="234"/>
      <c r="O26" s="174" t="s">
        <v>204</v>
      </c>
      <c r="P26" s="174"/>
    </row>
    <row r="27" spans="1:17" ht="15" customHeight="1" thickTop="1" thickBot="1" x14ac:dyDescent="0.25">
      <c r="A27" s="300" t="s">
        <v>62</v>
      </c>
      <c r="B27" s="301"/>
      <c r="C27" s="308"/>
      <c r="D27" s="309"/>
      <c r="E27" s="105" t="s">
        <v>49</v>
      </c>
      <c r="F27" s="180"/>
      <c r="G27" s="189">
        <f>ROUND(IF(GörAyrSebebi="Açığa Alınma ( 2 / 3 )",F27/TMAGS*çalışılangün+F27/TMAGS*çalışılmayangün/3*2,IF(TMAGS=çalışılmayangün,0,F27/TMAGS*çalışılangün)),2)</f>
        <v>0</v>
      </c>
      <c r="H27" s="185">
        <f t="shared" si="4"/>
        <v>0</v>
      </c>
      <c r="I27" s="122" t="s">
        <v>140</v>
      </c>
      <c r="J27" s="310" t="s">
        <v>229</v>
      </c>
      <c r="K27" s="310"/>
      <c r="L27" s="311"/>
      <c r="M27" s="219">
        <f>ROUND(IF(AND(GörAyrSebebi="Açığa Alınma ( 2 / 3 )",emeklilik_kanunu="5434_sk",çalışılangün&gt;0),F17,IF(AND(GörAyrSebebi="Açığa Alınma ( 2 / 3 )",emeklilik_kanunu="5434_sk",çalışılangün=0),F17/2,IF(AND(GörAyrSebebi="Açığa Alınma ( 2 / 3 )",emeklilik_kanunu="5510_sk",çalışılangün=0),F17/2,IF(AND(GörAyrSebebi="Açığa Alınma ( 2 / 3 )",emeklilik_kanunu="5510_sk",çalışılangün&gt;0),(F17/N23)*çalışılangün+F17/N23*çalışmadığıgün_sgk/2,)))),2)</f>
        <v>0</v>
      </c>
      <c r="N27" s="220">
        <f>ROUND(IF(M27&gt;0,0,IF(OR(çalışılangün=0,TMAGS=çalışmadığıgün_sgk),0,IF(AND(emeklilik_kanunu="5434_sk",Hizmet&gt;0),0,IF(emeklilik_kanunu="5434_sk",F17,F17/N23*(N23-çalışmadığıgün_sgk))))),2)</f>
        <v>0</v>
      </c>
      <c r="O27" s="221">
        <f t="shared" ref="O27:O32" si="5">M27+N27</f>
        <v>0</v>
      </c>
      <c r="P27" s="259" t="s">
        <v>221</v>
      </c>
    </row>
    <row r="28" spans="1:17" ht="15" customHeight="1" thickBot="1" x14ac:dyDescent="0.25">
      <c r="A28" s="300" t="s">
        <v>64</v>
      </c>
      <c r="B28" s="301"/>
      <c r="C28" s="308"/>
      <c r="D28" s="309"/>
      <c r="E28" s="105" t="s">
        <v>50</v>
      </c>
      <c r="F28" s="180"/>
      <c r="G28" s="189">
        <f>ROUND((F28/TMAGS)*(TMAGS-GÖİEGS),2)</f>
        <v>0</v>
      </c>
      <c r="H28" s="185">
        <f t="shared" si="4"/>
        <v>0</v>
      </c>
      <c r="I28" s="122" t="s">
        <v>59</v>
      </c>
      <c r="J28" s="321">
        <f>fark</f>
        <v>0</v>
      </c>
      <c r="K28" s="321"/>
      <c r="L28" s="322"/>
      <c r="M28" s="222">
        <f>ROUND(IF(AND(GörAyrSebebi="Açığa Alınma ( 2 / 3 )",emeklilik_kanunu="5434_sk",çalışılangün&gt;0),F24,IF(AND(GörAyrSebebi="Açığa Alınma ( 2 / 3 )",emeklilik_kanunu="5434_sk",çalışılangün=0),F24/2,IF(AND(GörAyrSebebi="Açığa Alınma ( 2 / 3 )",emeklilik_kanunu="5510_sk",çalışılangün=0),F24/2,IF(AND(GörAyrSebebi="Açığa Alınma ( 2 / 3 )",emeklilik_kanunu="5510_sk",çalışılangün&gt;0),(F24/N23)*çalışılangün+F24/N23*çalışmadığıgün_sgk/2,)))),2)</f>
        <v>0</v>
      </c>
      <c r="N28" s="223">
        <f>ROUND(IF(M28&gt;0,0,IF(OR(çalışılangün=0,TMAGS=çalışmadığıgün_sgk),0,IF(AND(emeklilik_kanunu="5434_sk",C29="İstifa"),F24,IF(emeklilik_kanunu="5434_sk",F24,IF(sgk_gss_iadesi="Yapmayacak",F24,F24/N23*(N23-çalışmadığıgün_sgk)))))),2)</f>
        <v>0</v>
      </c>
      <c r="O28" s="96">
        <f t="shared" si="5"/>
        <v>0</v>
      </c>
      <c r="P28" s="260"/>
    </row>
    <row r="29" spans="1:17" ht="15" customHeight="1" thickBot="1" x14ac:dyDescent="0.25">
      <c r="A29" s="316" t="s">
        <v>107</v>
      </c>
      <c r="B29" s="317"/>
      <c r="C29" s="325" t="s">
        <v>148</v>
      </c>
      <c r="D29" s="326"/>
      <c r="E29" s="105" t="s">
        <v>207</v>
      </c>
      <c r="F29" s="180"/>
      <c r="G29" s="189">
        <f>ROUND(IF(GörAyrSebebi="Açığa Alınma ( 2 / 3 )",F29/TMAGS*çalışılangün+F29/TMAGS*çalışılmayangün/3*2,IF(TMAGS=çalışılmayangün,0,F29/TMAGS*çalışılangün)),2)</f>
        <v>0</v>
      </c>
      <c r="H29" s="185">
        <f t="shared" si="4"/>
        <v>0</v>
      </c>
      <c r="I29" s="122" t="s">
        <v>60</v>
      </c>
      <c r="J29" s="321">
        <f>fark.m.e.</f>
        <v>0</v>
      </c>
      <c r="K29" s="321"/>
      <c r="L29" s="322"/>
      <c r="M29" s="222">
        <f>ROUND(IF(AND(GörAyrSebebi="Açığa Alınma ( 2 / 3 )",emeklilik_kanunu="5434_sk",çalışılangün&gt;0),J13,IF(AND(GörAyrSebebi="Açığa Alınma ( 2 / 3 )",emeklilik_kanunu="5434_sk",çalışılangün=0),J13/2,IF(AND(GörAyrSebebi="Açığa Alınma ( 2 / 3 )",emeklilik_kanunu="5510_sk",çalışılangün=0),J13/2,IF(AND(GörAyrSebebi="Açığa Alınma ( 2 / 3 )",emeklilik_kanunu="5510_sk",çalışılangün&gt;0),(J13/N23)*çalışılangün+J13/N23*çalışmadığıgün_sgk/2,)))),2)</f>
        <v>0</v>
      </c>
      <c r="N29" s="224">
        <f>ROUND(IF(M29&gt;0,0,IF(OR(çalışılangün=0,TMAGS=çalışmadığıgün_sgk),0,IF(emeklilik_kanunu="5434_sk",J13,J13/N23*(N23-çalışmadığıgün_sgk)))),2)</f>
        <v>0</v>
      </c>
      <c r="O29" s="95">
        <f t="shared" si="5"/>
        <v>0</v>
      </c>
      <c r="P29" s="260"/>
      <c r="Q29" s="132"/>
    </row>
    <row r="30" spans="1:17" ht="15" customHeight="1" thickTop="1" thickBot="1" x14ac:dyDescent="0.25">
      <c r="E30" s="105" t="s">
        <v>52</v>
      </c>
      <c r="F30" s="180"/>
      <c r="G30" s="189">
        <f>ROUND(IF(GörAyrSebebi="Açığa Alınma ( 2 / 3 )",F30/TMAGS*çalışılangün+F30/TMAGS*çalışılmayangün/3*2,IF(TMAGS=çalışılmayangün,0,F30/TMAGS*çalışılangün)),2)</f>
        <v>0</v>
      </c>
      <c r="H30" s="185">
        <f t="shared" si="4"/>
        <v>0</v>
      </c>
      <c r="I30" s="126" t="s">
        <v>61</v>
      </c>
      <c r="J30" s="323">
        <f>fark.borç</f>
        <v>0</v>
      </c>
      <c r="K30" s="323"/>
      <c r="L30" s="324"/>
      <c r="M30" s="222">
        <f>ROUND(IF(AND(GörAyrSebebi="Açığa Alınma ( 2 / 3 )",emeklilik_kanunu="5434_sk",çalışılangün&gt;0),J14,IF(AND(GörAyrSebebi="Açığa Alınma ( 2 / 3 )",emeklilik_kanunu="5434_sk",çalışılangün=0),J14/2,IF(AND(GörAyrSebebi="Açığa Alınma ( 2 / 3 )",emeklilik_kanunu="5510_sk",çalışılangün=0),J14/2,IF(AND(GörAyrSebebi="Açığa Alınma ( 2 / 3 )",emeklilik_kanunu="5510_sk",çalışılangün&gt;0),(J14/N23)*çalışılangün+J14/N23*çalışmadığıgün_sgk/2,)))),2)</f>
        <v>0</v>
      </c>
      <c r="N30" s="224">
        <f>ROUND(IF(M30&gt;0,0,IF(OR(çalışılangün=0,TMAGS=çalışmadığıgün_sgk),0,IF(emeklilik_kanunu="5434_sk",J14,J14/N23*(N23-çalışmadığıgün_sgk)))),2)</f>
        <v>0</v>
      </c>
      <c r="O30" s="96">
        <f t="shared" si="5"/>
        <v>0</v>
      </c>
      <c r="P30" s="260"/>
    </row>
    <row r="31" spans="1:17" ht="15" customHeight="1" thickBot="1" x14ac:dyDescent="0.3">
      <c r="E31" s="257" t="s">
        <v>41</v>
      </c>
      <c r="F31" s="180"/>
      <c r="G31" s="189">
        <f>ROUND(IF(GörAyrSebebi="Açığa Alınma ( 2 / 3 )",F31/TMAGS*çalışılangün+F31/TMAGS*çalışılmayangün/3*2,IF(TMAGS=çalışılmayangün,0,F31/TMAGS*çalışılangün)),2)</f>
        <v>0</v>
      </c>
      <c r="H31" s="185">
        <f t="shared" si="4"/>
        <v>0</v>
      </c>
      <c r="I31" s="140" t="s">
        <v>151</v>
      </c>
      <c r="J31"/>
      <c r="K31"/>
      <c r="L31"/>
      <c r="M31" s="222">
        <f>ROUND(IF(AND(GörAyrSebebi="Açığa Alınma ( 2 / 3 )",emeklilik_kanunu="5434_sk",çalışılangün&gt;0),J15,IF(AND(GörAyrSebebi="Açığa Alınma ( 2 / 3 )",emeklilik_kanunu="5434_sk",çalışılangün=0),J15/2,IF(AND(GörAyrSebebi="Açığa Alınma ( 2 / 3 )",emeklilik_kanunu="5510_sk",çalışılangün=0),J15/2,IF(AND(GörAyrSebebi="Açığa Alınma ( 2 / 3 )",emeklilik_kanunu="5510_sk",çalışılangün&gt;0),(J15/N23)*çalışılangün+J15/N23*çalışmadığıgün_sgk/2,)))),2)</f>
        <v>0</v>
      </c>
      <c r="N31" s="224">
        <f>ROUND(IF(M27&gt;0,0,IF(OR(çalışılangün=0,TMAGS=çalışmadığıgün_sgk),0,IF(emeklilik_kanunu="5434_sk",J15,IF(sgk_gss_iadesi="Yapmayacak",J15,J15/N23*(N23-çalışmadığıgün_sgk))))),2)</f>
        <v>0</v>
      </c>
      <c r="O31" s="96">
        <f t="shared" si="5"/>
        <v>0</v>
      </c>
      <c r="P31" s="260"/>
    </row>
    <row r="32" spans="1:17" ht="16.5" thickTop="1" thickBot="1" x14ac:dyDescent="0.3">
      <c r="A32" s="327" t="s">
        <v>209</v>
      </c>
      <c r="B32" s="327"/>
      <c r="C32" s="327"/>
      <c r="D32" s="328"/>
      <c r="E32" s="258" t="s">
        <v>230</v>
      </c>
      <c r="F32" s="251"/>
      <c r="G32" s="189">
        <f>ROUND(IF(GörAyrSebebi="Açığa Alınma ( 2 / 3 )",F32/TMAGS*çalışılangün+F32/TMAGS*çalışılmayangün/3*2,IF(TMAGS=çalışılmayangün,0,F32/TMAGS*çalışılangün)),2)</f>
        <v>0</v>
      </c>
      <c r="H32" s="185">
        <f t="shared" si="4"/>
        <v>0</v>
      </c>
      <c r="I32" s="252"/>
      <c r="J32"/>
      <c r="K32"/>
      <c r="L32"/>
      <c r="M32" s="225">
        <f>ROUND(IF(AND(GörAyrSebebi="Açığa Alınma ( 2 / 3 )",emeklilik_kanunu="5434_sk",çalışılangün&gt;0),J16,IF(AND(GörAyrSebebi="Açığa Alınma ( 2 / 3 )",emeklilik_kanunu="5434_sk",çalışılangün=0),J16/2,IF(AND(GörAyrSebebi="Açığa Alınma ( 2 / 3 )",emeklilik_kanunu="5510_sk",çalışılangün=0),J16/2,IF(AND(GörAyrSebebi="Açığa Alınma ( 2 / 3 )",emeklilik_kanunu="5510_sk",çalışılangün&gt;0),(J16/N23)*çalışılangün+J16/N23*çalışmadığıgün_sgk/2,)))),2)</f>
        <v>0</v>
      </c>
      <c r="N32" s="226">
        <f>ROUND(IF(M27&gt;0,0,IF(OR(çalışılangün=0,TMAGS=çalışmadığıgün_sgk),0,IF(emeklilik_kanunu="5434_sk",J16,IF(sgk_gss_iadesi="yapmayacak",J16,J16/N23*(N23-çalışmadığıgün_sgk))))),2)</f>
        <v>0</v>
      </c>
      <c r="O32" s="227">
        <f t="shared" si="5"/>
        <v>0</v>
      </c>
      <c r="P32" s="261"/>
    </row>
    <row r="33" spans="1:26" ht="16.5" thickTop="1" thickBot="1" x14ac:dyDescent="0.3">
      <c r="A33" s="329"/>
      <c r="B33" s="329"/>
      <c r="C33" s="329"/>
      <c r="D33" s="330"/>
      <c r="E33" s="109" t="s">
        <v>248</v>
      </c>
      <c r="F33" s="251"/>
      <c r="G33" s="189">
        <f>ROUND(IF(GörAyrSebebi="Açığa Alınma ( 2 / 3 )",F33/TMAGS*çalışılangün+F33/TMAGS*çalışılmayangün/3*2,IF(TMAGS=çalışılmayangün,0,F33/TMAGS*çalışılangün)),2)</f>
        <v>0</v>
      </c>
      <c r="H33" s="185">
        <f t="shared" si="4"/>
        <v>0</v>
      </c>
      <c r="I33" s="252"/>
      <c r="J33"/>
      <c r="K33"/>
      <c r="L33"/>
      <c r="M33" s="253"/>
      <c r="N33" s="254"/>
      <c r="O33" s="255"/>
      <c r="P33" s="256"/>
    </row>
    <row r="34" spans="1:26" ht="15" customHeight="1" thickTop="1" thickBot="1" x14ac:dyDescent="0.3">
      <c r="A34" s="329"/>
      <c r="B34" s="329"/>
      <c r="C34" s="329"/>
      <c r="D34" s="330"/>
      <c r="E34" s="186" t="s">
        <v>124</v>
      </c>
      <c r="F34" s="187"/>
      <c r="G34" s="188">
        <f>ROUND(IF(çalışılangün&gt;0,F34,),2)</f>
        <v>0</v>
      </c>
      <c r="H34" s="228">
        <f t="shared" si="4"/>
        <v>0</v>
      </c>
      <c r="I34" s="314" t="str">
        <f>M40</f>
        <v>İlgili 5434 sayılı kanuna tabidir.</v>
      </c>
      <c r="J34" s="314"/>
      <c r="K34" s="314"/>
      <c r="L34" s="314"/>
      <c r="M34" s="108" t="s">
        <v>135</v>
      </c>
      <c r="N34" s="235" t="s">
        <v>137</v>
      </c>
      <c r="O34" s="236"/>
      <c r="P34" s="237"/>
      <c r="Q34" s="7"/>
      <c r="R34" s="7"/>
    </row>
    <row r="35" spans="1:26" ht="21" customHeight="1" thickBot="1" x14ac:dyDescent="0.35">
      <c r="A35" s="6" t="s">
        <v>224</v>
      </c>
      <c r="B35" s="184"/>
      <c r="C35" s="184"/>
      <c r="D35" s="184"/>
      <c r="I35" s="314"/>
      <c r="J35" s="314"/>
      <c r="K35" s="314"/>
      <c r="L35" s="314"/>
      <c r="M35" s="102" t="str">
        <f>IF(AND(emeklilik_kanunu="5434_sk",KYIL&gt;4,KYIL&lt;11),"Yararlanıyor"," ")</f>
        <v xml:space="preserve"> </v>
      </c>
      <c r="N35" s="238"/>
      <c r="O35" s="239"/>
      <c r="P35" s="240"/>
      <c r="Q35" s="7"/>
      <c r="R35" s="7"/>
      <c r="Z35" s="6" t="s">
        <v>205</v>
      </c>
    </row>
    <row r="36" spans="1:26" ht="21" customHeight="1" thickTop="1" x14ac:dyDescent="0.25">
      <c r="A36" s="315" t="s">
        <v>225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103" t="str">
        <f>IF(OR(emeklilik_kanunu&lt;&gt;0,çalışılangün=0),"Yapacak","")</f>
        <v>Yapacak</v>
      </c>
      <c r="N36" s="241" t="s">
        <v>222</v>
      </c>
      <c r="O36" s="242"/>
      <c r="P36" s="243"/>
      <c r="Q36" s="7"/>
      <c r="R36" s="7"/>
    </row>
    <row r="37" spans="1:26" ht="21" customHeight="1" thickBot="1" x14ac:dyDescent="0.3">
      <c r="A37" s="315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104" t="s">
        <v>139</v>
      </c>
      <c r="N37" s="244"/>
      <c r="O37" s="245"/>
      <c r="P37" s="246"/>
      <c r="Q37" s="7"/>
      <c r="R37" s="7"/>
    </row>
    <row r="38" spans="1:26" ht="21" customHeight="1" thickTop="1" x14ac:dyDescent="0.2">
      <c r="A38" s="315"/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181">
        <f>KYIL</f>
        <v>0</v>
      </c>
      <c r="N38" s="181" t="s">
        <v>210</v>
      </c>
      <c r="O38" s="181">
        <f>IF(AND(Hizmetyılı&gt;4,Hizmetyılı&lt;10),Hizmetyılı,0)</f>
        <v>0</v>
      </c>
      <c r="P38" s="181"/>
      <c r="Q38" s="7"/>
      <c r="R38" s="7"/>
    </row>
    <row r="39" spans="1:26" ht="19.5" customHeight="1" x14ac:dyDescent="0.2">
      <c r="A39" s="315"/>
      <c r="B39" s="315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6"/>
      <c r="N39" s="6"/>
      <c r="O39" s="6"/>
      <c r="P39" s="6"/>
      <c r="Q39" s="7"/>
      <c r="R39" s="7"/>
    </row>
    <row r="40" spans="1:26" ht="13.7" customHeight="1" x14ac:dyDescent="0.2">
      <c r="M40" s="7" t="str">
        <f>IF(emeklilik_kanunu="5434_sk","İlgili 5434 sayılı kanuna tabidir.","İlgili 5510 sayılı kanuna tabidir")</f>
        <v>İlgili 5434 sayılı kanuna tabidir.</v>
      </c>
    </row>
    <row r="42" spans="1:26" ht="13.7" customHeight="1" x14ac:dyDescent="0.25">
      <c r="M42" s="319" t="s">
        <v>150</v>
      </c>
      <c r="N42" s="320"/>
      <c r="O42" s="8"/>
    </row>
    <row r="43" spans="1:26" ht="13.7" customHeight="1" x14ac:dyDescent="0.25">
      <c r="A43" s="287" t="s">
        <v>40</v>
      </c>
      <c r="B43" s="288"/>
      <c r="C43" s="296">
        <v>0</v>
      </c>
      <c r="D43" s="297"/>
      <c r="M43" s="304" t="s">
        <v>147</v>
      </c>
      <c r="N43" s="305"/>
      <c r="O43" s="8"/>
    </row>
    <row r="44" spans="1:26" ht="13.7" customHeight="1" x14ac:dyDescent="0.25">
      <c r="M44" s="304" t="s">
        <v>211</v>
      </c>
      <c r="N44" s="305"/>
      <c r="O44" s="8"/>
    </row>
    <row r="45" spans="1:26" ht="13.7" customHeight="1" x14ac:dyDescent="0.25">
      <c r="M45" s="304" t="s">
        <v>143</v>
      </c>
      <c r="N45" s="305"/>
      <c r="O45" s="8"/>
    </row>
    <row r="46" spans="1:26" ht="13.7" customHeight="1" x14ac:dyDescent="0.2">
      <c r="M46" s="304" t="s">
        <v>141</v>
      </c>
      <c r="N46" s="305"/>
    </row>
    <row r="47" spans="1:26" ht="13.7" customHeight="1" x14ac:dyDescent="0.2">
      <c r="M47" s="304" t="s">
        <v>148</v>
      </c>
      <c r="N47" s="305"/>
    </row>
    <row r="48" spans="1:26" ht="13.7" customHeight="1" x14ac:dyDescent="0.2">
      <c r="M48" s="304" t="s">
        <v>149</v>
      </c>
      <c r="N48" s="305"/>
    </row>
    <row r="49" spans="13:16" ht="13.7" customHeight="1" x14ac:dyDescent="0.2">
      <c r="M49" s="304" t="s">
        <v>142</v>
      </c>
      <c r="N49" s="305"/>
    </row>
    <row r="55" spans="13:16" ht="13.7" customHeight="1" x14ac:dyDescent="0.2">
      <c r="M55" s="318"/>
      <c r="N55" s="318"/>
      <c r="O55" s="318"/>
      <c r="P55" s="318"/>
    </row>
    <row r="56" spans="13:16" ht="13.7" customHeight="1" x14ac:dyDescent="0.2">
      <c r="M56" s="318"/>
      <c r="N56" s="318"/>
      <c r="O56" s="318"/>
      <c r="P56" s="318"/>
    </row>
    <row r="57" spans="13:16" ht="13.7" customHeight="1" x14ac:dyDescent="0.2">
      <c r="M57" s="318"/>
      <c r="N57" s="318"/>
      <c r="O57" s="318"/>
      <c r="P57" s="318"/>
    </row>
    <row r="58" spans="13:16" ht="13.7" customHeight="1" x14ac:dyDescent="0.2">
      <c r="M58" s="318"/>
      <c r="N58" s="318"/>
      <c r="O58" s="318"/>
      <c r="P58" s="318"/>
    </row>
    <row r="59" spans="13:16" ht="13.7" customHeight="1" x14ac:dyDescent="0.2">
      <c r="M59" s="318"/>
      <c r="N59" s="318"/>
      <c r="O59" s="318"/>
      <c r="P59" s="318"/>
    </row>
    <row r="60" spans="13:16" ht="13.7" customHeight="1" x14ac:dyDescent="0.2">
      <c r="M60" s="318"/>
      <c r="N60" s="318"/>
      <c r="O60" s="318"/>
      <c r="P60" s="318"/>
    </row>
    <row r="61" spans="13:16" ht="13.7" customHeight="1" x14ac:dyDescent="0.2">
      <c r="M61" s="318"/>
      <c r="N61" s="318"/>
      <c r="O61" s="318"/>
      <c r="P61" s="318"/>
    </row>
    <row r="62" spans="13:16" ht="13.7" customHeight="1" x14ac:dyDescent="0.2">
      <c r="M62" s="318"/>
      <c r="N62" s="318"/>
      <c r="O62" s="318"/>
      <c r="P62" s="318"/>
    </row>
    <row r="63" spans="13:16" ht="13.7" customHeight="1" x14ac:dyDescent="0.2">
      <c r="M63" s="318"/>
      <c r="N63" s="318"/>
      <c r="O63" s="318"/>
      <c r="P63" s="318"/>
    </row>
    <row r="64" spans="13:16" ht="13.7" customHeight="1" x14ac:dyDescent="0.2">
      <c r="M64" s="318"/>
      <c r="N64" s="318"/>
      <c r="O64" s="318"/>
      <c r="P64" s="318"/>
    </row>
    <row r="65" spans="13:16" ht="13.7" customHeight="1" x14ac:dyDescent="0.2">
      <c r="M65" s="318"/>
      <c r="N65" s="318"/>
      <c r="O65" s="318"/>
      <c r="P65" s="318"/>
    </row>
    <row r="66" spans="13:16" ht="13.7" customHeight="1" x14ac:dyDescent="0.2">
      <c r="M66" s="318"/>
      <c r="N66" s="318"/>
      <c r="O66" s="318"/>
      <c r="P66" s="318"/>
    </row>
    <row r="67" spans="13:16" ht="13.7" customHeight="1" x14ac:dyDescent="0.2">
      <c r="M67" s="318"/>
      <c r="N67" s="318"/>
      <c r="O67" s="318"/>
      <c r="P67" s="318"/>
    </row>
    <row r="68" spans="13:16" ht="13.7" customHeight="1" x14ac:dyDescent="0.2">
      <c r="M68" s="318"/>
      <c r="N68" s="318"/>
      <c r="O68" s="318"/>
      <c r="P68" s="318"/>
    </row>
    <row r="69" spans="13:16" ht="13.7" customHeight="1" x14ac:dyDescent="0.2">
      <c r="M69" s="318"/>
      <c r="N69" s="318"/>
      <c r="O69" s="318"/>
      <c r="P69" s="318"/>
    </row>
    <row r="70" spans="13:16" ht="13.7" customHeight="1" x14ac:dyDescent="0.2">
      <c r="M70" s="318"/>
      <c r="N70" s="318"/>
      <c r="O70" s="318"/>
      <c r="P70" s="318"/>
    </row>
    <row r="71" spans="13:16" ht="13.7" customHeight="1" x14ac:dyDescent="0.2">
      <c r="M71" s="318"/>
      <c r="N71" s="318"/>
      <c r="O71" s="318"/>
      <c r="P71" s="318"/>
    </row>
    <row r="72" spans="13:16" ht="13.7" customHeight="1" x14ac:dyDescent="0.2">
      <c r="M72" s="318"/>
      <c r="N72" s="318"/>
      <c r="O72" s="318"/>
      <c r="P72" s="318"/>
    </row>
    <row r="73" spans="13:16" ht="13.7" customHeight="1" x14ac:dyDescent="0.2">
      <c r="M73" s="318"/>
      <c r="N73" s="318"/>
      <c r="O73" s="318"/>
      <c r="P73" s="318"/>
    </row>
    <row r="74" spans="13:16" ht="13.7" customHeight="1" x14ac:dyDescent="0.2">
      <c r="M74" s="318"/>
      <c r="N74" s="318"/>
      <c r="O74" s="318"/>
      <c r="P74" s="318"/>
    </row>
    <row r="75" spans="13:16" ht="13.7" customHeight="1" x14ac:dyDescent="0.2">
      <c r="M75" s="318"/>
      <c r="N75" s="318"/>
      <c r="O75" s="318"/>
      <c r="P75" s="318"/>
    </row>
    <row r="76" spans="13:16" ht="13.7" customHeight="1" x14ac:dyDescent="0.2">
      <c r="M76" s="318"/>
      <c r="N76" s="318"/>
      <c r="O76" s="318"/>
      <c r="P76" s="318"/>
    </row>
    <row r="77" spans="13:16" ht="13.7" customHeight="1" x14ac:dyDescent="0.2">
      <c r="M77" s="318"/>
      <c r="N77" s="318"/>
      <c r="O77" s="318"/>
      <c r="P77" s="318"/>
    </row>
    <row r="78" spans="13:16" ht="13.7" customHeight="1" x14ac:dyDescent="0.2">
      <c r="M78" s="318"/>
      <c r="N78" s="318"/>
      <c r="O78" s="318"/>
      <c r="P78" s="318"/>
    </row>
    <row r="79" spans="13:16" ht="13.7" customHeight="1" x14ac:dyDescent="0.2">
      <c r="M79" s="318"/>
      <c r="N79" s="318"/>
      <c r="O79" s="318"/>
      <c r="P79" s="318"/>
    </row>
    <row r="80" spans="13:16" ht="13.7" customHeight="1" x14ac:dyDescent="0.2">
      <c r="M80" s="318"/>
      <c r="N80" s="318"/>
      <c r="O80" s="318"/>
      <c r="P80" s="318"/>
    </row>
    <row r="81" spans="13:16" ht="13.7" customHeight="1" x14ac:dyDescent="0.2">
      <c r="M81" s="318"/>
      <c r="N81" s="318"/>
      <c r="O81" s="318"/>
      <c r="P81" s="318"/>
    </row>
    <row r="82" spans="13:16" ht="13.7" customHeight="1" x14ac:dyDescent="0.2">
      <c r="M82" s="318"/>
      <c r="N82" s="318"/>
      <c r="O82" s="318"/>
      <c r="P82" s="318"/>
    </row>
  </sheetData>
  <sheetProtection password="EFA6" sheet="1" objects="1" scenarios="1" formatCells="0" formatColumns="0" formatRows="0" insertColumns="0" insertRows="0" insertHyperlinks="0" deleteColumns="0" deleteRows="0" selectLockedCells="1" sort="0" autoFilter="0" pivotTables="0"/>
  <customSheetViews>
    <customSheetView guid="{0F3F1C90-890E-4313-B539-FB7487F9242F}" showPageBreaks="1" showGridLines="0" printArea="1" hiddenColumns="1" view="pageBreakPreview" topLeftCell="A10">
      <selection activeCell="J12" sqref="J12"/>
      <pageMargins left="0.19685039370078741" right="0.23622047244094491" top="0.25" bottom="0" header="0" footer="0"/>
      <pageSetup paperSize="9" scale="74" orientation="portrait" useFirstPageNumber="1" r:id="rId1"/>
      <headerFooter alignWithMargins="0"/>
    </customSheetView>
  </customSheetViews>
  <mergeCells count="76">
    <mergeCell ref="J28:L28"/>
    <mergeCell ref="J29:L29"/>
    <mergeCell ref="J30:L30"/>
    <mergeCell ref="M49:N49"/>
    <mergeCell ref="C29:D29"/>
    <mergeCell ref="A32:D34"/>
    <mergeCell ref="M55:P82"/>
    <mergeCell ref="M42:N42"/>
    <mergeCell ref="M43:N43"/>
    <mergeCell ref="M44:N44"/>
    <mergeCell ref="M45:N45"/>
    <mergeCell ref="M48:N48"/>
    <mergeCell ref="J7:J8"/>
    <mergeCell ref="I34:L35"/>
    <mergeCell ref="A36:L39"/>
    <mergeCell ref="A29:B29"/>
    <mergeCell ref="A20:B20"/>
    <mergeCell ref="A14:B14"/>
    <mergeCell ref="A19:B19"/>
    <mergeCell ref="A18:B18"/>
    <mergeCell ref="A17:B17"/>
    <mergeCell ref="C18:D18"/>
    <mergeCell ref="A15:B15"/>
    <mergeCell ref="C21:D21"/>
    <mergeCell ref="A27:B27"/>
    <mergeCell ref="C27:D27"/>
    <mergeCell ref="A28:B28"/>
    <mergeCell ref="J27:L27"/>
    <mergeCell ref="J5:L5"/>
    <mergeCell ref="M46:N46"/>
    <mergeCell ref="M47:N47"/>
    <mergeCell ref="A26:B26"/>
    <mergeCell ref="A43:B43"/>
    <mergeCell ref="C43:D43"/>
    <mergeCell ref="A23:B23"/>
    <mergeCell ref="C25:D25"/>
    <mergeCell ref="A25:B25"/>
    <mergeCell ref="C26:D26"/>
    <mergeCell ref="C23:D23"/>
    <mergeCell ref="C28:D28"/>
    <mergeCell ref="J26:L26"/>
    <mergeCell ref="C22:D22"/>
    <mergeCell ref="A22:B22"/>
    <mergeCell ref="A21:B21"/>
    <mergeCell ref="A2:L2"/>
    <mergeCell ref="A24:B24"/>
    <mergeCell ref="F7:F8"/>
    <mergeCell ref="C24:D24"/>
    <mergeCell ref="A16:B16"/>
    <mergeCell ref="A13:B13"/>
    <mergeCell ref="C10:D10"/>
    <mergeCell ref="L7:L8"/>
    <mergeCell ref="K7:K8"/>
    <mergeCell ref="C20:D20"/>
    <mergeCell ref="C19:D19"/>
    <mergeCell ref="A3:B3"/>
    <mergeCell ref="A11:B11"/>
    <mergeCell ref="A8:B8"/>
    <mergeCell ref="A9:B9"/>
    <mergeCell ref="C8:D8"/>
    <mergeCell ref="E3:L3"/>
    <mergeCell ref="I6:L6"/>
    <mergeCell ref="C16:D16"/>
    <mergeCell ref="G7:G8"/>
    <mergeCell ref="I7:I8"/>
    <mergeCell ref="C4:D4"/>
    <mergeCell ref="E6:H6"/>
    <mergeCell ref="H7:H8"/>
    <mergeCell ref="E7:E8"/>
    <mergeCell ref="A6:D7"/>
    <mergeCell ref="C3:D3"/>
    <mergeCell ref="A10:B10"/>
    <mergeCell ref="C11:D11"/>
    <mergeCell ref="C9:D9"/>
    <mergeCell ref="A4:B4"/>
    <mergeCell ref="A12:B12"/>
  </mergeCells>
  <dataValidations count="3">
    <dataValidation type="list" allowBlank="1" showInputMessage="1" showErrorMessage="1" sqref="C29:D29">
      <formula1>$M$43:$M$53</formula1>
    </dataValidation>
    <dataValidation type="list" allowBlank="1" showInputMessage="1" showErrorMessage="1" sqref="J27:L27">
      <formula1>$M$36:$M$37</formula1>
    </dataValidation>
    <dataValidation type="list" allowBlank="1" showInputMessage="1" showErrorMessage="1" sqref="J26:L26">
      <formula1>$M$34:$M$35</formula1>
    </dataValidation>
  </dataValidations>
  <pageMargins left="0.19685039370078741" right="0.23622047244094491" top="0.25" bottom="0" header="0" footer="0"/>
  <pageSetup paperSize="9" scale="94" fitToWidth="0" orientation="landscape" useFirstPageNumber="1" r:id="rId2"/>
  <headerFooter alignWithMargins="0"/>
  <ignoredErrors>
    <ignoredError sqref="G26 G28 G24" formula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2060"/>
  </sheetPr>
  <dimension ref="A1:BX32"/>
  <sheetViews>
    <sheetView zoomScaleNormal="100" zoomScaleSheetLayoutView="100" workbookViewId="0">
      <selection activeCell="J37" sqref="J37"/>
    </sheetView>
  </sheetViews>
  <sheetFormatPr defaultColWidth="2.85546875" defaultRowHeight="15.75" x14ac:dyDescent="0.25"/>
  <cols>
    <col min="1" max="1" width="3.5703125" style="2" customWidth="1"/>
    <col min="2" max="3" width="2.85546875" style="2" customWidth="1"/>
    <col min="4" max="4" width="1.140625" style="2" customWidth="1"/>
    <col min="5" max="5" width="1.42578125" style="2" bestFit="1" customWidth="1"/>
    <col min="6" max="8" width="2.85546875" style="2" customWidth="1"/>
    <col min="9" max="9" width="3.5703125" style="2" customWidth="1"/>
    <col min="10" max="34" width="2.85546875" style="2" customWidth="1"/>
    <col min="35" max="35" width="3.5703125" style="2" customWidth="1"/>
    <col min="36" max="36" width="2.85546875" style="2"/>
    <col min="37" max="37" width="14" style="2" bestFit="1" customWidth="1"/>
    <col min="38" max="38" width="5.5703125" style="2" bestFit="1" customWidth="1"/>
    <col min="39" max="45" width="2.85546875" style="2"/>
    <col min="46" max="46" width="3.7109375" style="2" customWidth="1"/>
    <col min="47" max="16384" width="2.85546875" style="2"/>
  </cols>
  <sheetData>
    <row r="1" spans="1:40" ht="15.75" customHeight="1" x14ac:dyDescent="0.25">
      <c r="A1" s="24"/>
      <c r="B1" s="20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20"/>
      <c r="AJ1" s="3"/>
    </row>
    <row r="2" spans="1:40" ht="15.75" customHeight="1" x14ac:dyDescent="0.25">
      <c r="A2" s="346" t="s">
        <v>146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</row>
    <row r="3" spans="1:40" ht="15.75" customHeight="1" x14ac:dyDescent="0.25">
      <c r="A3" s="346" t="s">
        <v>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</row>
    <row r="4" spans="1:40" ht="15.75" customHeight="1" x14ac:dyDescent="0.25">
      <c r="A4" s="346" t="s">
        <v>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</row>
    <row r="5" spans="1:40" ht="15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40" ht="15.75" customHeight="1" x14ac:dyDescent="0.25">
      <c r="A6" s="20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N6" s="4"/>
    </row>
    <row r="7" spans="1:40" ht="15.75" customHeight="1" x14ac:dyDescent="0.25">
      <c r="A7" s="20"/>
      <c r="B7" s="365" t="s">
        <v>131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26"/>
    </row>
    <row r="8" spans="1:40" ht="15.75" customHeight="1" x14ac:dyDescent="0.25">
      <c r="A8" s="20"/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26"/>
    </row>
    <row r="9" spans="1:40" ht="15.75" customHeight="1" x14ac:dyDescent="0.25">
      <c r="A9" s="20"/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26"/>
    </row>
    <row r="10" spans="1:40" ht="15.75" customHeight="1" x14ac:dyDescent="0.25">
      <c r="A10" s="20"/>
      <c r="B10" s="365" t="s">
        <v>227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26"/>
    </row>
    <row r="11" spans="1:40" ht="15.75" customHeight="1" x14ac:dyDescent="0.25">
      <c r="A11" s="20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26"/>
    </row>
    <row r="12" spans="1:40" ht="15.75" customHeight="1" x14ac:dyDescent="0.25">
      <c r="A12" s="20"/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20"/>
      <c r="AN12" s="4"/>
    </row>
    <row r="13" spans="1:40" ht="15.75" customHeight="1" x14ac:dyDescent="0.25">
      <c r="A13" s="2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20"/>
      <c r="AN13" s="4"/>
    </row>
    <row r="14" spans="1:40" ht="15.75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40" ht="15.75" customHeight="1" thickBot="1" x14ac:dyDescent="0.3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40" x14ac:dyDescent="0.25">
      <c r="A16" s="20"/>
      <c r="B16" s="355" t="s">
        <v>5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7" t="str">
        <f>'Bilgi Girişi - Bordro'!C3 &amp;" " &amp;'Bilgi Girişi - Bordro'!E3</f>
        <v>Ordu Üniversitesi GENEL SEKRETERLİK</v>
      </c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9"/>
      <c r="AI16" s="20"/>
    </row>
    <row r="17" spans="1:76" ht="16.5" thickBot="1" x14ac:dyDescent="0.3">
      <c r="A17" s="20"/>
      <c r="B17" s="363" t="s">
        <v>108</v>
      </c>
      <c r="C17" s="364"/>
      <c r="D17" s="364"/>
      <c r="E17" s="364"/>
      <c r="F17" s="364"/>
      <c r="G17" s="364"/>
      <c r="H17" s="364"/>
      <c r="I17" s="364"/>
      <c r="J17" s="364"/>
      <c r="K17" s="364"/>
      <c r="L17" s="364" t="str">
        <f>'Bilgi Girişi - Bordro'!C4&amp;" / "&amp;'Bilgi Girişi - Bordro'!E4</f>
        <v>11 / 2024</v>
      </c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6"/>
      <c r="AI17" s="20"/>
    </row>
    <row r="18" spans="1:76" x14ac:dyDescent="0.25">
      <c r="A18" s="20"/>
      <c r="B18" s="379" t="str">
        <f>'Bilgi Girişi - Bordro'!A29</f>
        <v>Görevden Ayrılma Sebebi</v>
      </c>
      <c r="C18" s="358"/>
      <c r="D18" s="358"/>
      <c r="E18" s="358"/>
      <c r="F18" s="358"/>
      <c r="G18" s="358"/>
      <c r="H18" s="358"/>
      <c r="I18" s="358"/>
      <c r="J18" s="358"/>
      <c r="K18" s="380"/>
      <c r="L18" s="381" t="str">
        <f>'Bilgi Girişi - Bordro'!C29</f>
        <v>Askerlik nedeniyle ücretsiz izin</v>
      </c>
      <c r="M18" s="381"/>
      <c r="N18" s="381"/>
      <c r="O18" s="381"/>
      <c r="P18" s="381"/>
      <c r="Q18" s="381"/>
      <c r="R18" s="381"/>
      <c r="S18" s="381"/>
      <c r="T18" s="370" t="s">
        <v>144</v>
      </c>
      <c r="U18" s="371"/>
      <c r="V18" s="371"/>
      <c r="W18" s="371"/>
      <c r="X18" s="371"/>
      <c r="Y18" s="371"/>
      <c r="Z18" s="371"/>
      <c r="AA18" s="371"/>
      <c r="AB18" s="371"/>
      <c r="AC18" s="377" t="str">
        <f>IF('Bilgi Girişi - Bordro'!J27="Yapmayacak","Yok","Var")</f>
        <v>Var</v>
      </c>
      <c r="AD18" s="371"/>
      <c r="AE18" s="371"/>
      <c r="AF18" s="371"/>
      <c r="AG18" s="371"/>
      <c r="AH18" s="378"/>
      <c r="AI18" s="20"/>
    </row>
    <row r="19" spans="1:76" x14ac:dyDescent="0.25">
      <c r="A19" s="20"/>
      <c r="B19" s="352" t="s">
        <v>111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0">
        <f>'Bilgi Girişi - Bordro'!C8</f>
        <v>0</v>
      </c>
      <c r="M19" s="350"/>
      <c r="N19" s="350"/>
      <c r="O19" s="350"/>
      <c r="P19" s="350"/>
      <c r="Q19" s="350"/>
      <c r="R19" s="350"/>
      <c r="S19" s="350"/>
      <c r="T19" s="353" t="s">
        <v>77</v>
      </c>
      <c r="U19" s="353"/>
      <c r="V19" s="353"/>
      <c r="W19" s="353"/>
      <c r="X19" s="353"/>
      <c r="Y19" s="353"/>
      <c r="Z19" s="353"/>
      <c r="AA19" s="353"/>
      <c r="AB19" s="353"/>
      <c r="AC19" s="350">
        <f>'Bilgi Girişi - Bordro'!C11</f>
        <v>0</v>
      </c>
      <c r="AD19" s="374"/>
      <c r="AE19" s="374"/>
      <c r="AF19" s="374"/>
      <c r="AG19" s="374"/>
      <c r="AH19" s="375"/>
      <c r="AI19" s="20"/>
      <c r="AK19" s="2" t="s">
        <v>65</v>
      </c>
    </row>
    <row r="20" spans="1:76" ht="16.5" thickBot="1" x14ac:dyDescent="0.3">
      <c r="A20" s="20"/>
      <c r="B20" s="363" t="s">
        <v>13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47">
        <f>'Bilgi Girişi - Bordro'!C9</f>
        <v>0</v>
      </c>
      <c r="M20" s="347"/>
      <c r="N20" s="347"/>
      <c r="O20" s="347"/>
      <c r="P20" s="347"/>
      <c r="Q20" s="347"/>
      <c r="R20" s="347"/>
      <c r="S20" s="347"/>
      <c r="T20" s="354" t="s">
        <v>112</v>
      </c>
      <c r="U20" s="354"/>
      <c r="V20" s="354"/>
      <c r="W20" s="354"/>
      <c r="X20" s="354"/>
      <c r="Y20" s="354"/>
      <c r="Z20" s="354"/>
      <c r="AA20" s="354"/>
      <c r="AB20" s="354"/>
      <c r="AC20" s="372">
        <f>'Bilgi Girişi - Bordro'!C28</f>
        <v>0</v>
      </c>
      <c r="AD20" s="372"/>
      <c r="AE20" s="372"/>
      <c r="AF20" s="372"/>
      <c r="AG20" s="372"/>
      <c r="AH20" s="373"/>
      <c r="AI20" s="20"/>
      <c r="AK20" s="1"/>
    </row>
    <row r="21" spans="1:76" x14ac:dyDescent="0.25">
      <c r="A21" s="20"/>
      <c r="B21" s="348" t="str">
        <f>'Bilgi Girişi - Bordro'!I11</f>
        <v>Giriş %25 (Devlet+Kişi)</v>
      </c>
      <c r="C21" s="349"/>
      <c r="D21" s="349"/>
      <c r="E21" s="349"/>
      <c r="F21" s="349"/>
      <c r="G21" s="349"/>
      <c r="H21" s="349"/>
      <c r="I21" s="349"/>
      <c r="J21" s="349"/>
      <c r="K21" s="349"/>
      <c r="L21" s="360">
        <f>'Bilgi Girişi - Bordro'!L11</f>
        <v>0</v>
      </c>
      <c r="M21" s="360"/>
      <c r="N21" s="360"/>
      <c r="O21" s="360"/>
      <c r="P21" s="360"/>
      <c r="Q21" s="360"/>
      <c r="R21" s="360"/>
      <c r="S21" s="360"/>
      <c r="T21" s="351" t="str">
        <f>'Bilgi Girişi - Bordro'!I12</f>
        <v>Artış %100 (Devlet+Kişi)</v>
      </c>
      <c r="U21" s="351"/>
      <c r="V21" s="351"/>
      <c r="W21" s="351"/>
      <c r="X21" s="351"/>
      <c r="Y21" s="351"/>
      <c r="Z21" s="351"/>
      <c r="AA21" s="351"/>
      <c r="AB21" s="351"/>
      <c r="AC21" s="360">
        <f>'Bilgi Girişi - Bordro'!L12</f>
        <v>0</v>
      </c>
      <c r="AD21" s="361"/>
      <c r="AE21" s="361"/>
      <c r="AF21" s="361"/>
      <c r="AG21" s="361"/>
      <c r="AH21" s="362"/>
      <c r="AI21" s="20"/>
      <c r="AK21" s="1"/>
    </row>
    <row r="22" spans="1:76" x14ac:dyDescent="0.25">
      <c r="A22" s="20"/>
      <c r="B22" s="382" t="str">
        <f>'Bilgi Girişi - Bordro'!I14</f>
        <v>Emekli Keseneği (Kişi)</v>
      </c>
      <c r="C22" s="383"/>
      <c r="D22" s="383"/>
      <c r="E22" s="383"/>
      <c r="F22" s="383"/>
      <c r="G22" s="383"/>
      <c r="H22" s="383"/>
      <c r="I22" s="383"/>
      <c r="J22" s="383"/>
      <c r="K22" s="383"/>
      <c r="L22" s="367">
        <f>'Bilgi Girişi - Bordro'!L14</f>
        <v>0</v>
      </c>
      <c r="M22" s="367"/>
      <c r="N22" s="367"/>
      <c r="O22" s="367"/>
      <c r="P22" s="367"/>
      <c r="Q22" s="367"/>
      <c r="R22" s="367"/>
      <c r="S22" s="367"/>
      <c r="T22" s="376" t="str">
        <f>'Bilgi Girişi - Bordro'!I13</f>
        <v>Emekli Keseneği (Devlet)</v>
      </c>
      <c r="U22" s="376"/>
      <c r="V22" s="376"/>
      <c r="W22" s="376"/>
      <c r="X22" s="376"/>
      <c r="Y22" s="376"/>
      <c r="Z22" s="376"/>
      <c r="AA22" s="376"/>
      <c r="AB22" s="376"/>
      <c r="AC22" s="367">
        <f>'Bilgi Girişi - Bordro'!L13</f>
        <v>0</v>
      </c>
      <c r="AD22" s="368"/>
      <c r="AE22" s="368"/>
      <c r="AF22" s="368"/>
      <c r="AG22" s="368"/>
      <c r="AH22" s="369"/>
      <c r="AI22" s="20"/>
      <c r="AK22" s="1"/>
    </row>
    <row r="23" spans="1:76" ht="16.5" thickBot="1" x14ac:dyDescent="0.3">
      <c r="A23" s="20"/>
      <c r="B23" s="333" t="str">
        <f>'Bilgi Girişi - Bordro'!I16</f>
        <v>Gen.Sag.Sig.Pir.(Kişi)</v>
      </c>
      <c r="C23" s="334"/>
      <c r="D23" s="334"/>
      <c r="E23" s="334"/>
      <c r="F23" s="334"/>
      <c r="G23" s="334"/>
      <c r="H23" s="334"/>
      <c r="I23" s="334"/>
      <c r="J23" s="334"/>
      <c r="K23" s="334"/>
      <c r="L23" s="332">
        <f>'Bilgi Girişi - Bordro'!L16</f>
        <v>0</v>
      </c>
      <c r="M23" s="332"/>
      <c r="N23" s="332"/>
      <c r="O23" s="332"/>
      <c r="P23" s="332"/>
      <c r="Q23" s="332"/>
      <c r="R23" s="332"/>
      <c r="S23" s="332"/>
      <c r="T23" s="340" t="str">
        <f>'Bilgi Girişi - Bordro'!I15</f>
        <v>Gen.Sag.Sig.Pir.(Devlet)</v>
      </c>
      <c r="U23" s="340"/>
      <c r="V23" s="340"/>
      <c r="W23" s="340"/>
      <c r="X23" s="340"/>
      <c r="Y23" s="340"/>
      <c r="Z23" s="340"/>
      <c r="AA23" s="340"/>
      <c r="AB23" s="340"/>
      <c r="AC23" s="332">
        <f>'Bilgi Girişi - Bordro'!L15</f>
        <v>0</v>
      </c>
      <c r="AD23" s="338"/>
      <c r="AE23" s="338"/>
      <c r="AF23" s="338"/>
      <c r="AG23" s="338"/>
      <c r="AH23" s="339"/>
      <c r="AI23" s="20"/>
      <c r="AK23" s="1"/>
    </row>
    <row r="24" spans="1:76" ht="15.75" customHeight="1" thickBot="1" x14ac:dyDescent="0.3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335" t="s">
        <v>4</v>
      </c>
      <c r="U24" s="336"/>
      <c r="V24" s="336"/>
      <c r="W24" s="336"/>
      <c r="X24" s="336"/>
      <c r="Y24" s="336"/>
      <c r="Z24" s="336"/>
      <c r="AA24" s="336"/>
      <c r="AB24" s="336"/>
      <c r="AC24" s="342">
        <f>SUM(AC21:AH23,L21:S23)</f>
        <v>0</v>
      </c>
      <c r="AD24" s="343"/>
      <c r="AE24" s="343"/>
      <c r="AF24" s="343"/>
      <c r="AG24" s="343"/>
      <c r="AH24" s="344"/>
      <c r="AI24" s="20"/>
      <c r="AK24" s="1"/>
    </row>
    <row r="25" spans="1:76" ht="15.75" customHeight="1" x14ac:dyDescent="0.25">
      <c r="A25" s="20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K25" s="1"/>
    </row>
    <row r="26" spans="1:76" ht="15.75" customHeight="1" x14ac:dyDescent="0.25">
      <c r="A26" s="2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20"/>
      <c r="AK26" s="1"/>
    </row>
    <row r="27" spans="1:76" ht="15.75" customHeight="1" x14ac:dyDescent="0.25">
      <c r="A27" s="20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20"/>
      <c r="AK27" s="1"/>
    </row>
    <row r="28" spans="1:76" ht="15.75" customHeight="1" x14ac:dyDescent="0.25">
      <c r="A28" s="20"/>
      <c r="B28" s="331" t="s">
        <v>1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20"/>
    </row>
    <row r="29" spans="1:76" x14ac:dyDescent="0.25">
      <c r="A29" s="20"/>
      <c r="B29" s="23"/>
      <c r="C29" s="345" t="s">
        <v>132</v>
      </c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20"/>
    </row>
    <row r="30" spans="1:76" x14ac:dyDescent="0.25">
      <c r="A30" s="20"/>
      <c r="B30" s="23"/>
      <c r="C30" s="341" t="s">
        <v>133</v>
      </c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  <c r="AG30" s="341"/>
      <c r="AH30" s="341"/>
      <c r="AI30" s="2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x14ac:dyDescent="0.25">
      <c r="A31" s="20"/>
      <c r="B31" s="23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20"/>
      <c r="AK31" s="5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x14ac:dyDescent="0.25">
      <c r="A32" s="1"/>
      <c r="B32" s="18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1"/>
      <c r="AK32" s="5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0F3F1C90-890E-4313-B539-FB7487F9242F}" showPageBreaks="1" printArea="1" view="pageBreakPreview" topLeftCell="A10">
      <selection activeCell="AK39" sqref="AK39"/>
      <pageMargins left="0.23622047244094491" right="0" top="0" bottom="0" header="0" footer="0"/>
      <printOptions horizontalCentered="1"/>
      <pageSetup paperSize="9" orientation="portrait" blackAndWhite="1" r:id="rId1"/>
    </customSheetView>
  </customSheetViews>
  <mergeCells count="41">
    <mergeCell ref="B7:AH9"/>
    <mergeCell ref="B10:AH12"/>
    <mergeCell ref="L17:AH17"/>
    <mergeCell ref="AC22:AH22"/>
    <mergeCell ref="T18:AB18"/>
    <mergeCell ref="AC20:AH20"/>
    <mergeCell ref="L22:S22"/>
    <mergeCell ref="AC19:AH19"/>
    <mergeCell ref="T22:AB22"/>
    <mergeCell ref="AC18:AH18"/>
    <mergeCell ref="B18:K18"/>
    <mergeCell ref="L18:S18"/>
    <mergeCell ref="B20:K20"/>
    <mergeCell ref="B22:K22"/>
    <mergeCell ref="C1:AH1"/>
    <mergeCell ref="L20:S20"/>
    <mergeCell ref="B21:K21"/>
    <mergeCell ref="A2:AI2"/>
    <mergeCell ref="L19:S19"/>
    <mergeCell ref="T21:AB21"/>
    <mergeCell ref="B19:K19"/>
    <mergeCell ref="T20:AB20"/>
    <mergeCell ref="A3:AI3"/>
    <mergeCell ref="A4:AI4"/>
    <mergeCell ref="B16:K16"/>
    <mergeCell ref="L16:AH16"/>
    <mergeCell ref="L21:S21"/>
    <mergeCell ref="AC21:AH21"/>
    <mergeCell ref="B17:K17"/>
    <mergeCell ref="T19:AB19"/>
    <mergeCell ref="B28:AH28"/>
    <mergeCell ref="L23:S23"/>
    <mergeCell ref="B23:K23"/>
    <mergeCell ref="T24:AB24"/>
    <mergeCell ref="C32:AH32"/>
    <mergeCell ref="AC23:AH23"/>
    <mergeCell ref="C31:AH31"/>
    <mergeCell ref="T23:AB23"/>
    <mergeCell ref="C30:AH30"/>
    <mergeCell ref="AC24:AH24"/>
    <mergeCell ref="C29:AH29"/>
  </mergeCells>
  <printOptions horizontalCentered="1"/>
  <pageMargins left="0.23622047244094491" right="0" top="0" bottom="0" header="0" footer="0"/>
  <pageSetup paperSize="9" orientation="portrait" blackAndWhite="1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C000"/>
  </sheetPr>
  <dimension ref="A1:BX28"/>
  <sheetViews>
    <sheetView zoomScaleNormal="100" zoomScaleSheetLayoutView="100" workbookViewId="0">
      <selection activeCell="I35" sqref="I35"/>
    </sheetView>
  </sheetViews>
  <sheetFormatPr defaultColWidth="2.85546875" defaultRowHeight="15.75" x14ac:dyDescent="0.25"/>
  <cols>
    <col min="1" max="1" width="3.5703125" style="2" customWidth="1"/>
    <col min="2" max="3" width="2.85546875" style="2" customWidth="1"/>
    <col min="4" max="4" width="1.140625" style="2" customWidth="1"/>
    <col min="5" max="5" width="1.42578125" style="2" bestFit="1" customWidth="1"/>
    <col min="6" max="8" width="2.85546875" style="2" customWidth="1"/>
    <col min="9" max="9" width="3.140625" style="2" customWidth="1"/>
    <col min="10" max="34" width="2.85546875" style="2" customWidth="1"/>
    <col min="35" max="35" width="3.5703125" style="2" customWidth="1"/>
    <col min="36" max="36" width="2.85546875" style="2"/>
    <col min="37" max="37" width="14" style="2" bestFit="1" customWidth="1"/>
    <col min="38" max="38" width="5.5703125" style="2" bestFit="1" customWidth="1"/>
    <col min="39" max="16384" width="2.85546875" style="2"/>
  </cols>
  <sheetData>
    <row r="1" spans="1:72" ht="15.7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3"/>
      <c r="O1" s="384" t="s">
        <v>121</v>
      </c>
      <c r="P1" s="384"/>
      <c r="Q1" s="384"/>
      <c r="R1" s="385">
        <f>'Bilgi Girişi - Bordro'!C9</f>
        <v>0</v>
      </c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14"/>
    </row>
    <row r="2" spans="1:72" ht="15.7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86" t="str">
        <f>'Bilgi Girişi - Bordro'!C5</f>
        <v xml:space="preserve">ORDU ÜNİVERSİTESİ </v>
      </c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14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</row>
    <row r="3" spans="1:72" ht="15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14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</row>
    <row r="4" spans="1:72" ht="15.7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15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</row>
    <row r="5" spans="1:72" ht="15.7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1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</row>
    <row r="6" spans="1:72" ht="15.75" customHeight="1" x14ac:dyDescent="0.25">
      <c r="B6" s="387" t="s">
        <v>116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1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</row>
    <row r="7" spans="1:72" ht="15.75" customHeight="1" x14ac:dyDescent="0.25"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16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</row>
    <row r="8" spans="1:72" ht="21" customHeight="1" x14ac:dyDescent="0.25">
      <c r="B8" s="387" t="s">
        <v>228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16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</row>
    <row r="9" spans="1:72" ht="15.75" customHeight="1" x14ac:dyDescent="0.25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7"/>
      <c r="X9" s="387"/>
      <c r="Y9" s="387"/>
      <c r="Z9" s="387"/>
      <c r="AA9" s="387"/>
      <c r="AB9" s="387"/>
      <c r="AC9" s="387"/>
      <c r="AD9" s="387"/>
      <c r="AE9" s="387"/>
      <c r="AF9" s="387"/>
      <c r="AG9" s="387"/>
      <c r="AH9" s="387"/>
      <c r="AI9" s="16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</row>
    <row r="10" spans="1:72" ht="15.75" customHeight="1" x14ac:dyDescent="0.25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16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</row>
    <row r="11" spans="1:72" ht="18.75" customHeight="1" x14ac:dyDescent="0.25">
      <c r="B11" s="387" t="s">
        <v>117</v>
      </c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387"/>
      <c r="AA11" s="387"/>
      <c r="AB11" s="387"/>
      <c r="AC11" s="387"/>
      <c r="AD11" s="387"/>
      <c r="AE11" s="387"/>
      <c r="AF11" s="387"/>
      <c r="AG11" s="387"/>
      <c r="AH11" s="387"/>
      <c r="AI11" s="16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</row>
    <row r="12" spans="1:72" ht="15.75" customHeigh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6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</row>
    <row r="13" spans="1:72" ht="15.75" customHeight="1" thickBot="1" x14ac:dyDescent="0.3">
      <c r="AI13" s="1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</row>
    <row r="14" spans="1:72" s="10" customFormat="1" ht="18.75" customHeight="1" thickBot="1" x14ac:dyDescent="0.3">
      <c r="B14" s="388" t="s">
        <v>120</v>
      </c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 t="s">
        <v>119</v>
      </c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13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</row>
    <row r="15" spans="1:72" s="10" customFormat="1" ht="18.75" customHeight="1" thickBot="1" x14ac:dyDescent="0.3">
      <c r="B15" s="388" t="s">
        <v>118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9">
        <f>'Bilgi Girişi - Bordro'!J30</f>
        <v>0</v>
      </c>
      <c r="P15" s="389"/>
      <c r="Q15" s="389"/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89"/>
      <c r="AD15" s="389"/>
      <c r="AE15" s="389"/>
      <c r="AF15" s="389"/>
      <c r="AG15" s="389"/>
      <c r="AH15" s="389"/>
      <c r="AI15" s="13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</row>
    <row r="16" spans="1:72" ht="15.75" customHeight="1" x14ac:dyDescent="0.25">
      <c r="A16" s="1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1"/>
      <c r="AK16" s="1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</row>
    <row r="17" spans="1:76" ht="15.75" customHeight="1" x14ac:dyDescent="0.25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1"/>
      <c r="AK17" s="1"/>
    </row>
    <row r="18" spans="1:76" ht="15.75" customHeight="1" x14ac:dyDescent="0.25">
      <c r="A18" s="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K18" s="1"/>
    </row>
    <row r="19" spans="1:76" ht="15.75" customHeight="1" x14ac:dyDescent="0.25">
      <c r="A19" s="1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76" x14ac:dyDescent="0.25">
      <c r="A20" s="1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"/>
      <c r="AK20" s="5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ht="22.5" customHeight="1" x14ac:dyDescent="0.25">
      <c r="A21" s="1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"/>
      <c r="AK21" s="5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ht="19.5" customHeight="1" x14ac:dyDescent="0.25">
      <c r="A22" s="1"/>
      <c r="B22" s="390" t="s">
        <v>198</v>
      </c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 t="s">
        <v>199</v>
      </c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1"/>
      <c r="AK22" s="5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ht="19.5" customHeight="1" x14ac:dyDescent="0.25">
      <c r="A23" s="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9"/>
      <c r="Q23" s="19"/>
      <c r="R23" s="19"/>
      <c r="S23" s="19"/>
      <c r="T23" s="19"/>
      <c r="U23" s="19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"/>
      <c r="AK23" s="5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x14ac:dyDescent="0.25">
      <c r="A24" s="1"/>
      <c r="B24" s="391" t="s">
        <v>202</v>
      </c>
      <c r="C24" s="391"/>
      <c r="D24" s="391"/>
      <c r="E24" s="391"/>
      <c r="F24" s="391"/>
      <c r="G24" s="391"/>
      <c r="H24" s="19" t="s">
        <v>0</v>
      </c>
      <c r="I24" s="393" t="s">
        <v>203</v>
      </c>
      <c r="J24" s="393"/>
      <c r="K24" s="393"/>
      <c r="L24" s="393"/>
      <c r="M24" s="393"/>
      <c r="N24" s="393"/>
      <c r="O24" s="393"/>
      <c r="P24" s="393"/>
      <c r="Q24" s="393"/>
      <c r="R24" s="393"/>
      <c r="S24" s="391" t="s">
        <v>202</v>
      </c>
      <c r="T24" s="391"/>
      <c r="U24" s="391"/>
      <c r="V24" s="391"/>
      <c r="W24" s="391"/>
      <c r="X24" s="391"/>
      <c r="Y24" s="19" t="s">
        <v>0</v>
      </c>
      <c r="Z24" s="393" t="s">
        <v>203</v>
      </c>
      <c r="AA24" s="393"/>
      <c r="AB24" s="393"/>
      <c r="AC24" s="393"/>
      <c r="AD24" s="393"/>
      <c r="AE24" s="393"/>
      <c r="AF24" s="393"/>
      <c r="AG24" s="393"/>
      <c r="AH24" s="393"/>
      <c r="AI24" s="30"/>
      <c r="AK24" s="5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x14ac:dyDescent="0.25">
      <c r="A25" s="1"/>
      <c r="B25" s="391" t="s">
        <v>201</v>
      </c>
      <c r="C25" s="391"/>
      <c r="D25" s="391"/>
      <c r="E25" s="391"/>
      <c r="F25" s="391"/>
      <c r="G25" s="391"/>
      <c r="H25" s="19" t="s">
        <v>0</v>
      </c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1" t="s">
        <v>201</v>
      </c>
      <c r="T25" s="391"/>
      <c r="U25" s="391"/>
      <c r="V25" s="391"/>
      <c r="W25" s="391"/>
      <c r="X25" s="391"/>
      <c r="Y25" s="19" t="s">
        <v>0</v>
      </c>
      <c r="Z25" s="392"/>
      <c r="AA25" s="392"/>
      <c r="AB25" s="392"/>
      <c r="AC25" s="392"/>
      <c r="AD25" s="392"/>
      <c r="AE25" s="392"/>
      <c r="AF25" s="392"/>
      <c r="AG25" s="392"/>
      <c r="AH25" s="392"/>
      <c r="AI25" s="30"/>
      <c r="AJ25" s="30"/>
      <c r="AK25" s="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x14ac:dyDescent="0.25">
      <c r="A26" s="1"/>
      <c r="B26" s="391" t="s">
        <v>164</v>
      </c>
      <c r="C26" s="391"/>
      <c r="D26" s="391"/>
      <c r="E26" s="391"/>
      <c r="F26" s="391"/>
      <c r="G26" s="391"/>
      <c r="H26" s="19" t="s">
        <v>0</v>
      </c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1" t="s">
        <v>164</v>
      </c>
      <c r="T26" s="391"/>
      <c r="U26" s="391"/>
      <c r="V26" s="391"/>
      <c r="W26" s="391"/>
      <c r="X26" s="391"/>
      <c r="Y26" s="19" t="s">
        <v>0</v>
      </c>
      <c r="Z26" s="392"/>
      <c r="AA26" s="392"/>
      <c r="AB26" s="392"/>
      <c r="AC26" s="392"/>
      <c r="AD26" s="392"/>
      <c r="AE26" s="392"/>
      <c r="AF26" s="392"/>
      <c r="AG26" s="392"/>
      <c r="AH26" s="392"/>
      <c r="AI26" s="30"/>
      <c r="AJ26" s="30"/>
      <c r="AK26" s="5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ht="18.75" customHeight="1" x14ac:dyDescent="0.25">
      <c r="A27" s="1"/>
      <c r="B27" s="391" t="s">
        <v>200</v>
      </c>
      <c r="C27" s="391"/>
      <c r="D27" s="391"/>
      <c r="E27" s="391"/>
      <c r="F27" s="391"/>
      <c r="G27" s="391"/>
      <c r="H27" s="19" t="s">
        <v>0</v>
      </c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1" t="s">
        <v>200</v>
      </c>
      <c r="T27" s="391"/>
      <c r="U27" s="391"/>
      <c r="V27" s="391"/>
      <c r="W27" s="391"/>
      <c r="X27" s="391"/>
      <c r="Y27" s="19" t="s">
        <v>0</v>
      </c>
      <c r="Z27" s="392"/>
      <c r="AA27" s="392"/>
      <c r="AB27" s="392"/>
      <c r="AC27" s="392"/>
      <c r="AD27" s="392"/>
      <c r="AE27" s="392"/>
      <c r="AF27" s="392"/>
      <c r="AG27" s="392"/>
      <c r="AH27" s="392"/>
      <c r="AI27" s="30"/>
      <c r="AJ27" s="30"/>
      <c r="AK27" s="5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ht="18.75" customHeight="1" x14ac:dyDescent="0.25">
      <c r="A28" s="1"/>
      <c r="B28" s="173"/>
      <c r="C28" s="173"/>
      <c r="D28" s="173"/>
      <c r="E28" s="173"/>
      <c r="F28" s="173"/>
      <c r="G28" s="173"/>
      <c r="H28" s="19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3"/>
      <c r="T28" s="173"/>
      <c r="U28" s="173"/>
      <c r="V28" s="173"/>
      <c r="W28" s="173"/>
      <c r="X28" s="173"/>
      <c r="Y28" s="19"/>
      <c r="Z28" s="10"/>
      <c r="AA28" s="10"/>
      <c r="AB28" s="10"/>
      <c r="AC28" s="10"/>
      <c r="AD28" s="10"/>
      <c r="AE28" s="10"/>
      <c r="AF28" s="10"/>
      <c r="AG28" s="10"/>
      <c r="AH28" s="10"/>
      <c r="AI28" s="30"/>
      <c r="AJ28" s="30"/>
      <c r="AK28" s="5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0F3F1C90-890E-4313-B539-FB7487F9242F}" showPageBreaks="1" printArea="1" view="pageBreakPreview" topLeftCell="A19">
      <selection activeCell="AC32" sqref="AC32"/>
      <pageMargins left="0.24" right="0" top="0" bottom="0" header="0" footer="0"/>
      <printOptions horizontalCentered="1"/>
      <pageSetup paperSize="9" orientation="portrait" blackAndWhite="1" r:id="rId1"/>
    </customSheetView>
  </customSheetViews>
  <mergeCells count="28">
    <mergeCell ref="B27:G27"/>
    <mergeCell ref="B25:G25"/>
    <mergeCell ref="B26:G26"/>
    <mergeCell ref="Z26:AH26"/>
    <mergeCell ref="B24:G24"/>
    <mergeCell ref="I24:R24"/>
    <mergeCell ref="S27:X27"/>
    <mergeCell ref="S25:X25"/>
    <mergeCell ref="S26:X26"/>
    <mergeCell ref="S24:X24"/>
    <mergeCell ref="Z24:AH24"/>
    <mergeCell ref="I27:R27"/>
    <mergeCell ref="I25:R25"/>
    <mergeCell ref="I26:R26"/>
    <mergeCell ref="Z27:AH27"/>
    <mergeCell ref="Z25:AH25"/>
    <mergeCell ref="B15:N15"/>
    <mergeCell ref="O14:AH14"/>
    <mergeCell ref="O15:AH15"/>
    <mergeCell ref="B11:AH11"/>
    <mergeCell ref="B22:R22"/>
    <mergeCell ref="S22:AH22"/>
    <mergeCell ref="B14:N14"/>
    <mergeCell ref="O1:Q1"/>
    <mergeCell ref="R1:AH1"/>
    <mergeCell ref="R2:AH4"/>
    <mergeCell ref="B8:AH10"/>
    <mergeCell ref="B6:AH7"/>
  </mergeCells>
  <printOptions horizontalCentered="1"/>
  <pageMargins left="0.24" right="0" top="0" bottom="0" header="0" footer="0"/>
  <pageSetup paperSize="9" orientation="portrait" blackAndWhite="1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P53"/>
  <sheetViews>
    <sheetView zoomScaleNormal="100" workbookViewId="0">
      <selection activeCell="A6" sqref="A6:I6"/>
    </sheetView>
  </sheetViews>
  <sheetFormatPr defaultRowHeight="21" customHeight="1" x14ac:dyDescent="0.2"/>
  <cols>
    <col min="1" max="2" width="10.140625" style="9" bestFit="1" customWidth="1"/>
    <col min="3" max="3" width="8.5703125" style="9" customWidth="1"/>
    <col min="4" max="4" width="11.7109375" style="9" customWidth="1"/>
    <col min="5" max="5" width="1.28515625" style="9" customWidth="1"/>
    <col min="6" max="6" width="11.28515625" style="9" bestFit="1" customWidth="1"/>
    <col min="7" max="7" width="11.140625" style="9" customWidth="1"/>
    <col min="8" max="8" width="12.42578125" style="9" customWidth="1"/>
    <col min="9" max="9" width="12" style="9" bestFit="1" customWidth="1"/>
    <col min="10" max="10" width="9.140625" style="9"/>
    <col min="11" max="11" width="21.42578125" style="9" customWidth="1"/>
    <col min="12" max="12" width="16.42578125" style="9" customWidth="1"/>
    <col min="13" max="16384" width="9.140625" style="9"/>
  </cols>
  <sheetData>
    <row r="1" spans="1:12" ht="16.5" customHeight="1" thickBot="1" x14ac:dyDescent="0.25">
      <c r="A1" s="394" t="s">
        <v>66</v>
      </c>
      <c r="B1" s="395"/>
      <c r="C1" s="395"/>
      <c r="D1" s="395"/>
      <c r="E1" s="395"/>
      <c r="F1" s="396"/>
      <c r="G1" s="396"/>
      <c r="H1" s="396"/>
      <c r="I1" s="397"/>
      <c r="J1" s="31"/>
      <c r="K1" s="31"/>
      <c r="L1" s="31"/>
    </row>
    <row r="2" spans="1:12" ht="16.5" customHeight="1" x14ac:dyDescent="0.2">
      <c r="A2" s="398" t="s">
        <v>67</v>
      </c>
      <c r="B2" s="399"/>
      <c r="C2" s="404" t="s">
        <v>68</v>
      </c>
      <c r="D2" s="405"/>
      <c r="E2" s="408"/>
      <c r="F2" s="409"/>
      <c r="G2" s="409"/>
      <c r="H2" s="409"/>
      <c r="I2" s="410"/>
      <c r="J2" s="31"/>
      <c r="K2" s="31"/>
      <c r="L2" s="31"/>
    </row>
    <row r="3" spans="1:12" ht="16.5" customHeight="1" x14ac:dyDescent="0.2">
      <c r="A3" s="400"/>
      <c r="B3" s="401"/>
      <c r="C3" s="406"/>
      <c r="D3" s="407"/>
      <c r="E3" s="411"/>
      <c r="F3" s="412"/>
      <c r="G3" s="412"/>
      <c r="H3" s="412"/>
      <c r="I3" s="413"/>
      <c r="J3" s="31"/>
      <c r="K3" s="31"/>
      <c r="L3" s="31"/>
    </row>
    <row r="4" spans="1:12" ht="16.5" customHeight="1" x14ac:dyDescent="0.2">
      <c r="A4" s="400"/>
      <c r="B4" s="401"/>
      <c r="C4" s="414" t="s">
        <v>69</v>
      </c>
      <c r="D4" s="415"/>
      <c r="E4" s="414"/>
      <c r="F4" s="416"/>
      <c r="G4" s="416"/>
      <c r="H4" s="416"/>
      <c r="I4" s="417"/>
      <c r="J4" s="31"/>
      <c r="K4" s="31"/>
      <c r="L4" s="31"/>
    </row>
    <row r="5" spans="1:12" ht="16.5" customHeight="1" thickBot="1" x14ac:dyDescent="0.25">
      <c r="A5" s="402"/>
      <c r="B5" s="403"/>
      <c r="C5" s="418" t="s">
        <v>70</v>
      </c>
      <c r="D5" s="419"/>
      <c r="E5" s="418"/>
      <c r="F5" s="420"/>
      <c r="G5" s="420"/>
      <c r="H5" s="420"/>
      <c r="I5" s="421"/>
      <c r="J5" s="31"/>
      <c r="K5" s="31"/>
      <c r="L5" s="31"/>
    </row>
    <row r="6" spans="1:12" ht="16.5" customHeight="1" thickBot="1" x14ac:dyDescent="0.25">
      <c r="A6" s="422" t="s">
        <v>122</v>
      </c>
      <c r="B6" s="423"/>
      <c r="C6" s="423"/>
      <c r="D6" s="423"/>
      <c r="E6" s="423"/>
      <c r="F6" s="423"/>
      <c r="G6" s="423"/>
      <c r="H6" s="423"/>
      <c r="I6" s="424"/>
      <c r="J6" s="31"/>
      <c r="K6" s="31"/>
      <c r="L6" s="31"/>
    </row>
    <row r="7" spans="1:12" ht="16.5" customHeight="1" x14ac:dyDescent="0.2">
      <c r="A7" s="398" t="s">
        <v>71</v>
      </c>
      <c r="B7" s="399"/>
      <c r="C7" s="404" t="s">
        <v>72</v>
      </c>
      <c r="D7" s="405"/>
      <c r="E7" s="408"/>
      <c r="F7" s="409"/>
      <c r="G7" s="409"/>
      <c r="H7" s="409"/>
      <c r="I7" s="410"/>
      <c r="J7" s="31"/>
      <c r="K7" s="31"/>
      <c r="L7" s="31"/>
    </row>
    <row r="8" spans="1:12" ht="16.5" customHeight="1" x14ac:dyDescent="0.2">
      <c r="A8" s="400"/>
      <c r="B8" s="401"/>
      <c r="C8" s="406"/>
      <c r="D8" s="407"/>
      <c r="E8" s="411"/>
      <c r="F8" s="412"/>
      <c r="G8" s="412"/>
      <c r="H8" s="412"/>
      <c r="I8" s="413"/>
      <c r="J8" s="31"/>
      <c r="K8" s="31"/>
      <c r="L8" s="31"/>
    </row>
    <row r="9" spans="1:12" ht="16.5" customHeight="1" thickBot="1" x14ac:dyDescent="0.25">
      <c r="A9" s="400"/>
      <c r="B9" s="401"/>
      <c r="C9" s="418" t="s">
        <v>73</v>
      </c>
      <c r="D9" s="419"/>
      <c r="E9" s="418"/>
      <c r="F9" s="420"/>
      <c r="G9" s="420"/>
      <c r="H9" s="420"/>
      <c r="I9" s="421"/>
      <c r="J9" s="31"/>
      <c r="K9" s="31"/>
      <c r="L9" s="31"/>
    </row>
    <row r="10" spans="1:12" ht="16.5" customHeight="1" thickBot="1" x14ac:dyDescent="0.25">
      <c r="A10" s="425"/>
      <c r="B10" s="426"/>
      <c r="C10" s="426"/>
      <c r="D10" s="426"/>
      <c r="E10" s="426"/>
      <c r="F10" s="426"/>
      <c r="G10" s="426"/>
      <c r="H10" s="426"/>
      <c r="I10" s="427"/>
      <c r="J10" s="31"/>
      <c r="K10" s="31"/>
      <c r="L10" s="31"/>
    </row>
    <row r="11" spans="1:12" ht="16.5" customHeight="1" thickBot="1" x14ac:dyDescent="0.25">
      <c r="A11" s="428" t="s">
        <v>74</v>
      </c>
      <c r="B11" s="429"/>
      <c r="C11" s="429"/>
      <c r="D11" s="430"/>
      <c r="E11" s="431"/>
      <c r="F11" s="432"/>
      <c r="G11" s="432"/>
      <c r="H11" s="432"/>
      <c r="I11" s="433"/>
      <c r="J11" s="31"/>
      <c r="K11" s="31"/>
      <c r="L11" s="31"/>
    </row>
    <row r="12" spans="1:12" ht="16.5" customHeight="1" thickBot="1" x14ac:dyDescent="0.25">
      <c r="A12" s="434"/>
      <c r="B12" s="435"/>
      <c r="C12" s="435"/>
      <c r="D12" s="435"/>
      <c r="E12" s="435"/>
      <c r="F12" s="435"/>
      <c r="G12" s="435"/>
      <c r="H12" s="435"/>
      <c r="I12" s="435"/>
      <c r="J12" s="31"/>
      <c r="K12" s="31"/>
      <c r="L12" s="31"/>
    </row>
    <row r="13" spans="1:12" ht="16.5" customHeight="1" x14ac:dyDescent="0.2">
      <c r="A13" s="436" t="s">
        <v>75</v>
      </c>
      <c r="B13" s="437"/>
      <c r="C13" s="437"/>
      <c r="D13" s="438"/>
      <c r="E13" s="439"/>
      <c r="F13" s="440"/>
      <c r="G13" s="440"/>
      <c r="H13" s="440"/>
      <c r="I13" s="441"/>
      <c r="J13" s="31"/>
      <c r="K13" s="31"/>
      <c r="L13" s="31"/>
    </row>
    <row r="14" spans="1:12" ht="16.5" customHeight="1" x14ac:dyDescent="0.2">
      <c r="A14" s="32" t="s">
        <v>76</v>
      </c>
      <c r="B14" s="33"/>
      <c r="C14" s="33"/>
      <c r="D14" s="34"/>
      <c r="E14" s="442"/>
      <c r="F14" s="443"/>
      <c r="G14" s="443"/>
      <c r="H14" s="443"/>
      <c r="I14" s="444"/>
      <c r="J14" s="31"/>
      <c r="K14" s="31"/>
      <c r="L14" s="31"/>
    </row>
    <row r="15" spans="1:12" ht="16.5" customHeight="1" thickBot="1" x14ac:dyDescent="0.25">
      <c r="A15" s="445" t="s">
        <v>77</v>
      </c>
      <c r="B15" s="446"/>
      <c r="C15" s="446"/>
      <c r="D15" s="446"/>
      <c r="E15" s="447"/>
      <c r="F15" s="448"/>
      <c r="G15" s="448"/>
      <c r="H15" s="448"/>
      <c r="I15" s="449"/>
      <c r="J15" s="31"/>
      <c r="K15" s="31"/>
      <c r="L15" s="31"/>
    </row>
    <row r="16" spans="1:12" ht="16.5" customHeight="1" thickBot="1" x14ac:dyDescent="0.3">
      <c r="A16" s="450"/>
      <c r="B16" s="451"/>
      <c r="C16" s="451"/>
      <c r="D16" s="451"/>
      <c r="E16" s="451"/>
      <c r="F16" s="452"/>
      <c r="G16" s="452"/>
      <c r="H16" s="452"/>
      <c r="I16" s="453"/>
      <c r="J16" s="31"/>
      <c r="K16" s="31"/>
      <c r="L16" s="31"/>
    </row>
    <row r="17" spans="1:16" ht="16.5" customHeight="1" x14ac:dyDescent="0.2">
      <c r="A17" s="454" t="s">
        <v>78</v>
      </c>
      <c r="B17" s="455"/>
      <c r="C17" s="455"/>
      <c r="D17" s="456"/>
      <c r="E17" s="463" t="s">
        <v>79</v>
      </c>
      <c r="F17" s="464"/>
      <c r="G17" s="465"/>
      <c r="H17" s="466" t="s">
        <v>80</v>
      </c>
      <c r="I17" s="467"/>
      <c r="J17" s="31"/>
      <c r="K17" s="31"/>
      <c r="L17" s="31"/>
    </row>
    <row r="18" spans="1:16" ht="16.5" customHeight="1" x14ac:dyDescent="0.2">
      <c r="A18" s="457"/>
      <c r="B18" s="458"/>
      <c r="C18" s="458"/>
      <c r="D18" s="459"/>
      <c r="E18" s="35" t="s">
        <v>81</v>
      </c>
      <c r="F18" s="35"/>
      <c r="G18" s="36" t="s">
        <v>82</v>
      </c>
      <c r="H18" s="36" t="s">
        <v>81</v>
      </c>
      <c r="I18" s="37" t="s">
        <v>82</v>
      </c>
      <c r="J18" s="31"/>
      <c r="K18" s="31"/>
      <c r="L18" s="31"/>
    </row>
    <row r="19" spans="1:16" ht="16.5" customHeight="1" thickBot="1" x14ac:dyDescent="0.25">
      <c r="A19" s="460"/>
      <c r="B19" s="461"/>
      <c r="C19" s="461"/>
      <c r="D19" s="462"/>
      <c r="E19" s="468">
        <v>0.09</v>
      </c>
      <c r="F19" s="468"/>
      <c r="G19" s="38">
        <v>0.05</v>
      </c>
      <c r="H19" s="38">
        <v>0.11</v>
      </c>
      <c r="I19" s="39">
        <v>7.4999999999999997E-2</v>
      </c>
      <c r="J19" s="31"/>
      <c r="K19" s="31"/>
      <c r="L19" s="31"/>
    </row>
    <row r="20" spans="1:16" ht="16.5" customHeight="1" thickBot="1" x14ac:dyDescent="0.3">
      <c r="A20" s="450"/>
      <c r="B20" s="451"/>
      <c r="C20" s="451"/>
      <c r="D20" s="451"/>
      <c r="E20" s="451"/>
      <c r="F20" s="452"/>
      <c r="G20" s="452"/>
      <c r="H20" s="452"/>
      <c r="I20" s="453"/>
      <c r="J20" s="31"/>
      <c r="K20" s="31"/>
      <c r="L20" s="31"/>
    </row>
    <row r="21" spans="1:16" ht="51" x14ac:dyDescent="0.2">
      <c r="A21" s="472" t="s">
        <v>83</v>
      </c>
      <c r="B21" s="473"/>
      <c r="C21" s="473"/>
      <c r="D21" s="473"/>
      <c r="E21" s="473"/>
      <c r="F21" s="474"/>
      <c r="G21" s="40" t="s">
        <v>84</v>
      </c>
      <c r="H21" s="40" t="s">
        <v>85</v>
      </c>
      <c r="I21" s="41" t="s">
        <v>86</v>
      </c>
      <c r="J21" s="31"/>
      <c r="K21" s="31"/>
      <c r="L21" s="31"/>
    </row>
    <row r="22" spans="1:16" ht="16.5" customHeight="1" x14ac:dyDescent="0.2">
      <c r="A22" s="475" t="s">
        <v>87</v>
      </c>
      <c r="B22" s="476"/>
      <c r="C22" s="476"/>
      <c r="D22" s="476"/>
      <c r="E22" s="477">
        <v>41320</v>
      </c>
      <c r="F22" s="478"/>
      <c r="G22" s="479">
        <v>30</v>
      </c>
      <c r="H22" s="481">
        <f>E23-E22+1</f>
        <v>4</v>
      </c>
      <c r="I22" s="483">
        <f>G22-H22</f>
        <v>26</v>
      </c>
      <c r="J22" s="31"/>
      <c r="K22" s="31"/>
      <c r="L22" s="31"/>
    </row>
    <row r="23" spans="1:16" ht="16.5" customHeight="1" x14ac:dyDescent="0.2">
      <c r="A23" s="485" t="s">
        <v>88</v>
      </c>
      <c r="B23" s="486"/>
      <c r="C23" s="486"/>
      <c r="D23" s="486"/>
      <c r="E23" s="487">
        <v>41323</v>
      </c>
      <c r="F23" s="488"/>
      <c r="G23" s="480"/>
      <c r="H23" s="482"/>
      <c r="I23" s="484"/>
      <c r="J23" s="31"/>
      <c r="K23" s="31"/>
      <c r="L23" s="31"/>
    </row>
    <row r="24" spans="1:16" ht="16.5" customHeight="1" x14ac:dyDescent="0.2">
      <c r="A24" s="489" t="s">
        <v>89</v>
      </c>
      <c r="B24" s="490"/>
      <c r="C24" s="490"/>
      <c r="D24" s="491"/>
      <c r="E24" s="492">
        <v>1</v>
      </c>
      <c r="F24" s="493"/>
      <c r="G24" s="494" t="str">
        <f>IF(E24=1,"GSS İadesi VAR  ","GSS İadesi YOK ")</f>
        <v xml:space="preserve">GSS İadesi VAR  </v>
      </c>
      <c r="H24" s="494"/>
      <c r="I24" s="494"/>
      <c r="J24" s="31"/>
      <c r="K24" s="31"/>
      <c r="L24" s="31"/>
    </row>
    <row r="25" spans="1:16" ht="16.5" customHeight="1" thickBot="1" x14ac:dyDescent="0.25">
      <c r="A25" s="495"/>
      <c r="B25" s="496"/>
      <c r="C25" s="496"/>
      <c r="D25" s="496"/>
      <c r="E25" s="496"/>
      <c r="F25" s="496"/>
      <c r="G25" s="496"/>
      <c r="H25" s="496"/>
      <c r="I25" s="497"/>
      <c r="J25" s="31"/>
      <c r="K25" s="31"/>
      <c r="L25" s="31"/>
    </row>
    <row r="26" spans="1:16" ht="34.5" customHeight="1" thickBot="1" x14ac:dyDescent="0.25">
      <c r="A26" s="498"/>
      <c r="B26" s="499"/>
      <c r="C26" s="499"/>
      <c r="D26" s="499"/>
      <c r="E26" s="499"/>
      <c r="F26" s="500"/>
      <c r="G26" s="42" t="s">
        <v>90</v>
      </c>
      <c r="H26" s="43" t="s">
        <v>91</v>
      </c>
      <c r="I26" s="44" t="s">
        <v>92</v>
      </c>
      <c r="J26" s="31"/>
      <c r="K26" s="31"/>
      <c r="L26" s="31"/>
    </row>
    <row r="27" spans="1:16" ht="16.5" customHeight="1" x14ac:dyDescent="0.2">
      <c r="A27" s="469" t="s">
        <v>93</v>
      </c>
      <c r="B27" s="470"/>
      <c r="C27" s="470"/>
      <c r="D27" s="470"/>
      <c r="E27" s="470"/>
      <c r="F27" s="471"/>
      <c r="G27" s="45">
        <f>G22</f>
        <v>30</v>
      </c>
      <c r="H27" s="45">
        <f>H22</f>
        <v>4</v>
      </c>
      <c r="I27" s="46">
        <f>I22</f>
        <v>26</v>
      </c>
      <c r="J27" s="31"/>
      <c r="K27" s="31"/>
      <c r="L27" s="31"/>
    </row>
    <row r="28" spans="1:16" ht="16.5" customHeight="1" x14ac:dyDescent="0.2">
      <c r="A28" s="501"/>
      <c r="B28" s="502"/>
      <c r="C28" s="502"/>
      <c r="D28" s="502"/>
      <c r="E28" s="502"/>
      <c r="F28" s="502"/>
      <c r="G28" s="502"/>
      <c r="H28" s="502"/>
      <c r="I28" s="503"/>
      <c r="J28" s="31"/>
      <c r="K28" s="31"/>
      <c r="L28" s="31"/>
    </row>
    <row r="29" spans="1:16" ht="16.5" customHeight="1" x14ac:dyDescent="0.2">
      <c r="A29" s="504" t="s">
        <v>94</v>
      </c>
      <c r="B29" s="505"/>
      <c r="C29" s="505"/>
      <c r="D29" s="505"/>
      <c r="E29" s="505"/>
      <c r="F29" s="505"/>
      <c r="G29" s="47">
        <f>L51</f>
        <v>0</v>
      </c>
      <c r="H29" s="48">
        <f>G29/G22*H22</f>
        <v>0</v>
      </c>
      <c r="I29" s="49"/>
      <c r="J29" s="31"/>
      <c r="K29" s="31" t="str">
        <f>'Bilgi Girişi - Bordro'!E9</f>
        <v>Aylık Tutar</v>
      </c>
      <c r="L29" s="50">
        <f>'Bilgi Girişi - Bordro'!F9</f>
        <v>0</v>
      </c>
    </row>
    <row r="30" spans="1:16" ht="16.5" customHeight="1" x14ac:dyDescent="0.2">
      <c r="A30" s="51"/>
      <c r="B30" s="52"/>
      <c r="C30" s="52"/>
      <c r="D30" s="52"/>
      <c r="E30" s="52"/>
      <c r="F30" s="53"/>
      <c r="G30" s="48"/>
      <c r="H30" s="31"/>
      <c r="I30" s="49"/>
      <c r="J30" s="31"/>
      <c r="K30" s="31" t="str">
        <f>'Bilgi Girişi - Bordro'!E10</f>
        <v>Taban Aylık</v>
      </c>
      <c r="L30" s="50">
        <f>'Bilgi Girişi - Bordro'!F10</f>
        <v>0</v>
      </c>
    </row>
    <row r="31" spans="1:16" ht="16.5" customHeight="1" x14ac:dyDescent="0.2">
      <c r="A31" s="506" t="s">
        <v>95</v>
      </c>
      <c r="B31" s="507"/>
      <c r="C31" s="507"/>
      <c r="D31" s="507"/>
      <c r="E31" s="507"/>
      <c r="F31" s="507"/>
      <c r="G31" s="54"/>
      <c r="H31" s="55">
        <f>G31/G22*H22</f>
        <v>0</v>
      </c>
      <c r="I31" s="49"/>
      <c r="J31" s="31"/>
      <c r="K31" s="31" t="str">
        <f>'Bilgi Girişi - Bordro'!E11</f>
        <v>Ek Gosterge</v>
      </c>
      <c r="L31" s="50">
        <f>'Bilgi Girişi - Bordro'!F11</f>
        <v>0</v>
      </c>
      <c r="P31" s="9">
        <v>16.399999999999999</v>
      </c>
    </row>
    <row r="32" spans="1:16" ht="16.5" customHeight="1" x14ac:dyDescent="0.2">
      <c r="A32" s="506"/>
      <c r="B32" s="507"/>
      <c r="C32" s="507"/>
      <c r="D32" s="507"/>
      <c r="E32" s="507"/>
      <c r="F32" s="507"/>
      <c r="G32" s="55"/>
      <c r="H32" s="31"/>
      <c r="I32" s="49"/>
      <c r="J32" s="31"/>
      <c r="K32" s="31" t="str">
        <f>'Bilgi Girişi - Bordro'!E12</f>
        <v>Yan Odeme</v>
      </c>
      <c r="O32" s="50">
        <v>16.399999999999999</v>
      </c>
    </row>
    <row r="33" spans="1:14" ht="16.5" customHeight="1" x14ac:dyDescent="0.2">
      <c r="A33" s="506" t="s">
        <v>96</v>
      </c>
      <c r="B33" s="507"/>
      <c r="C33" s="507"/>
      <c r="D33" s="507"/>
      <c r="E33" s="507"/>
      <c r="F33" s="507"/>
      <c r="G33" s="54">
        <f>SUM(G29:G32)</f>
        <v>0</v>
      </c>
      <c r="H33" s="55">
        <f>G33/G22*H22</f>
        <v>0</v>
      </c>
      <c r="I33" s="56"/>
      <c r="J33" s="31"/>
      <c r="K33" s="31" t="str">
        <f>'Bilgi Girişi - Bordro'!E13</f>
        <v>Kıdem Aylık</v>
      </c>
      <c r="L33" s="50">
        <f>'Bilgi Girişi - Bordro'!F13</f>
        <v>0</v>
      </c>
    </row>
    <row r="34" spans="1:14" ht="16.5" customHeight="1" x14ac:dyDescent="0.2">
      <c r="A34" s="511" t="b">
        <f>IF(G33=G29+G31, TRUE, FALSE)</f>
        <v>1</v>
      </c>
      <c r="B34" s="512"/>
      <c r="C34" s="512"/>
      <c r="D34" s="512"/>
      <c r="E34" s="512"/>
      <c r="F34" s="512"/>
      <c r="G34" s="512"/>
      <c r="H34" s="512"/>
      <c r="I34" s="513"/>
      <c r="J34" s="31"/>
      <c r="K34" s="31" t="str">
        <f>'Bilgi Girişi - Bordro'!E15</f>
        <v>Aile Yardımı</v>
      </c>
      <c r="L34" s="50"/>
    </row>
    <row r="35" spans="1:14" ht="16.5" customHeight="1" thickBot="1" x14ac:dyDescent="0.25">
      <c r="A35" s="527" t="s">
        <v>93</v>
      </c>
      <c r="B35" s="528"/>
      <c r="C35" s="528"/>
      <c r="D35" s="528"/>
      <c r="E35" s="528"/>
      <c r="F35" s="528"/>
      <c r="G35" s="57">
        <f>G22</f>
        <v>30</v>
      </c>
      <c r="H35" s="57">
        <f>H22</f>
        <v>4</v>
      </c>
      <c r="I35" s="58"/>
      <c r="J35" s="31"/>
      <c r="K35" s="31" t="str">
        <f>'Bilgi Girişi - Bordro'!E16</f>
        <v>Çocuk Yardımı</v>
      </c>
      <c r="L35" s="50"/>
    </row>
    <row r="36" spans="1:14" ht="16.5" customHeight="1" thickBot="1" x14ac:dyDescent="0.25">
      <c r="A36" s="529"/>
      <c r="B36" s="530"/>
      <c r="C36" s="530"/>
      <c r="D36" s="530"/>
      <c r="E36" s="530"/>
      <c r="F36" s="531"/>
      <c r="G36" s="59"/>
      <c r="H36" s="60"/>
      <c r="I36" s="61"/>
      <c r="J36" s="31"/>
      <c r="K36" s="31" t="str">
        <f>'Bilgi Girişi - Bordro'!E17</f>
        <v>Em.Kes.Dev.</v>
      </c>
      <c r="L36" s="50"/>
      <c r="N36" s="130">
        <f>I37</f>
        <v>0</v>
      </c>
    </row>
    <row r="37" spans="1:14" ht="16.5" customHeight="1" x14ac:dyDescent="0.2">
      <c r="A37" s="532" t="s">
        <v>97</v>
      </c>
      <c r="B37" s="533"/>
      <c r="C37" s="534"/>
      <c r="D37" s="62">
        <f>G33*9/100</f>
        <v>0</v>
      </c>
      <c r="E37" s="63"/>
      <c r="F37" s="64">
        <f>H33*9/100</f>
        <v>0</v>
      </c>
      <c r="G37" s="65">
        <f>ROUND(D37,2)</f>
        <v>0</v>
      </c>
      <c r="H37" s="66">
        <f>ROUND(F37,2)</f>
        <v>0</v>
      </c>
      <c r="I37" s="67">
        <f>G37-H37</f>
        <v>0</v>
      </c>
      <c r="J37" s="31"/>
      <c r="K37" s="31" t="str">
        <f>'Bilgi Girişi - Bordro'!E18</f>
        <v>Giriş %25 (Devlet)</v>
      </c>
      <c r="L37" s="50"/>
      <c r="N37" s="130">
        <f>I40</f>
        <v>0</v>
      </c>
    </row>
    <row r="38" spans="1:14" ht="16.5" customHeight="1" x14ac:dyDescent="0.2">
      <c r="A38" s="535" t="s">
        <v>98</v>
      </c>
      <c r="B38" s="536"/>
      <c r="C38" s="537"/>
      <c r="D38" s="68">
        <f>G33*5/100</f>
        <v>0</v>
      </c>
      <c r="E38" s="69"/>
      <c r="F38" s="70">
        <f>H33*5/100</f>
        <v>0</v>
      </c>
      <c r="G38" s="71">
        <f>ROUND(D38,2)</f>
        <v>0</v>
      </c>
      <c r="H38" s="55">
        <f>ROUND(F38,2)</f>
        <v>0</v>
      </c>
      <c r="I38" s="72">
        <f>IF(E24=0,0,G38-H38)</f>
        <v>0</v>
      </c>
      <c r="J38" s="31"/>
      <c r="K38" s="31" t="str">
        <f>'Bilgi Girişi - Bordro'!E19</f>
        <v>Artış %100 (Devlet)</v>
      </c>
      <c r="L38" s="50"/>
      <c r="N38" s="130">
        <f>SUM(N36:N37)</f>
        <v>0</v>
      </c>
    </row>
    <row r="39" spans="1:14" ht="16.5" customHeight="1" x14ac:dyDescent="0.2">
      <c r="A39" s="538"/>
      <c r="B39" s="518"/>
      <c r="C39" s="518"/>
      <c r="D39" s="518"/>
      <c r="E39" s="518"/>
      <c r="F39" s="518"/>
      <c r="G39" s="518"/>
      <c r="H39" s="518"/>
      <c r="I39" s="539"/>
      <c r="J39" s="31"/>
      <c r="K39" s="31" t="str">
        <f>'Bilgi Girişi - Bordro'!E20</f>
        <v>Özel Hiz. Taz.</v>
      </c>
      <c r="L39" s="50">
        <f>'Bilgi Girişi - Bordro'!F20</f>
        <v>0</v>
      </c>
    </row>
    <row r="40" spans="1:14" ht="16.5" customHeight="1" x14ac:dyDescent="0.2">
      <c r="A40" s="535" t="s">
        <v>99</v>
      </c>
      <c r="B40" s="536"/>
      <c r="C40" s="537"/>
      <c r="D40" s="73">
        <f>G33*11/100</f>
        <v>0</v>
      </c>
      <c r="E40" s="74"/>
      <c r="F40" s="75">
        <f>H33*11/100</f>
        <v>0</v>
      </c>
      <c r="G40" s="76">
        <f>ROUND(D40,2)</f>
        <v>0</v>
      </c>
      <c r="H40" s="77">
        <f>ROUND(F40,2)</f>
        <v>0</v>
      </c>
      <c r="I40" s="78">
        <f>G40-H40</f>
        <v>0</v>
      </c>
      <c r="J40" s="31"/>
      <c r="K40" s="31" t="str">
        <f>'Bilgi Girişi - Bordro'!E21</f>
        <v>Makam Tazminatı</v>
      </c>
      <c r="L40" s="50">
        <f>'Bilgi Girişi - Bordro'!F21</f>
        <v>0</v>
      </c>
    </row>
    <row r="41" spans="1:14" ht="16.5" customHeight="1" x14ac:dyDescent="0.2">
      <c r="A41" s="514" t="s">
        <v>100</v>
      </c>
      <c r="B41" s="515"/>
      <c r="C41" s="516"/>
      <c r="D41" s="79">
        <f>G33*7.5/100</f>
        <v>0</v>
      </c>
      <c r="E41" s="80"/>
      <c r="F41" s="81">
        <f>H33*7.5/100</f>
        <v>0</v>
      </c>
      <c r="G41" s="71">
        <f>ROUND(D41,2)</f>
        <v>0</v>
      </c>
      <c r="H41" s="55">
        <f>ROUND(F41,2)</f>
        <v>0</v>
      </c>
      <c r="I41" s="72">
        <f>IF(E24=0,0,G41-H41)</f>
        <v>0</v>
      </c>
      <c r="J41" s="31"/>
      <c r="K41" s="31" t="str">
        <f>'Bilgi Girişi - Bordro'!E22</f>
        <v>Dil Tazminatı</v>
      </c>
      <c r="L41" s="50"/>
    </row>
    <row r="42" spans="1:14" ht="16.5" customHeight="1" x14ac:dyDescent="0.2">
      <c r="A42" s="517"/>
      <c r="B42" s="518"/>
      <c r="C42" s="518"/>
      <c r="D42" s="518"/>
      <c r="E42" s="518"/>
      <c r="F42" s="518"/>
      <c r="G42" s="518"/>
      <c r="H42" s="518"/>
      <c r="I42" s="519"/>
      <c r="J42" s="31"/>
      <c r="K42" s="31" t="str">
        <f>'Bilgi Girişi - Bordro'!E23</f>
        <v>Lojman Yardımı</v>
      </c>
      <c r="L42" s="50"/>
    </row>
    <row r="43" spans="1:14" ht="16.5" customHeight="1" thickBot="1" x14ac:dyDescent="0.25">
      <c r="A43" s="520" t="s">
        <v>101</v>
      </c>
      <c r="B43" s="521"/>
      <c r="C43" s="521"/>
      <c r="D43" s="521"/>
      <c r="E43" s="521"/>
      <c r="F43" s="521"/>
      <c r="G43" s="82">
        <f>G37+G38+G40+G41</f>
        <v>0</v>
      </c>
      <c r="H43" s="83">
        <f>H37+H38+H40+H41</f>
        <v>0</v>
      </c>
      <c r="I43" s="84">
        <f>I37+I38+I40+I41</f>
        <v>0</v>
      </c>
      <c r="J43" s="31"/>
      <c r="K43" s="31" t="str">
        <f>'Bilgi Girişi - Bordro'!E24</f>
        <v>Sağ. Sig. Pir. (D)</v>
      </c>
      <c r="L43" s="50"/>
    </row>
    <row r="44" spans="1:14" ht="16.5" customHeight="1" x14ac:dyDescent="0.2">
      <c r="A44" s="522" t="str">
        <f>IF(E24=0," MYO Primleri İade Edildi. GSS Primleri Aylıksız İzinli Süreye Mahsuben İade Edilmedi", "Kişinin Ücretsiz İzin Esnasında Bakmakla Yükümlü Olduğu Kimse Yok")</f>
        <v>Kişinin Ücretsiz İzin Esnasında Bakmakla Yükümlü Olduğu Kimse Yok</v>
      </c>
      <c r="B44" s="522"/>
      <c r="C44" s="522"/>
      <c r="D44" s="522"/>
      <c r="E44" s="522"/>
      <c r="F44" s="522"/>
      <c r="G44" s="522"/>
      <c r="H44" s="522"/>
      <c r="I44" s="522"/>
      <c r="J44" s="50"/>
      <c r="K44" s="31" t="str">
        <f>'Bilgi Girişi - Bordro'!E25</f>
        <v>Ünv. Ödeneği</v>
      </c>
      <c r="L44" s="50">
        <f>'Bilgi Girişi - Bordro'!F25</f>
        <v>0</v>
      </c>
    </row>
    <row r="45" spans="1:14" ht="16.5" customHeight="1" x14ac:dyDescent="0.2">
      <c r="A45" s="523" t="s">
        <v>102</v>
      </c>
      <c r="B45" s="524"/>
      <c r="C45" s="524"/>
      <c r="D45" s="524"/>
      <c r="E45" s="524"/>
      <c r="F45" s="524"/>
      <c r="G45" s="524"/>
      <c r="H45" s="524"/>
      <c r="I45" s="525"/>
      <c r="J45" s="31"/>
      <c r="K45" s="31" t="str">
        <f>'Bilgi Girişi - Bordro'!E26</f>
        <v>İdari Görev Öd.</v>
      </c>
      <c r="L45" s="50"/>
    </row>
    <row r="46" spans="1:14" ht="16.5" customHeight="1" x14ac:dyDescent="0.2">
      <c r="A46" s="526" t="s">
        <v>103</v>
      </c>
      <c r="B46" s="526"/>
      <c r="C46" s="85" t="s">
        <v>104</v>
      </c>
      <c r="D46" s="86" t="s">
        <v>105</v>
      </c>
      <c r="E46" s="87"/>
      <c r="F46" s="526" t="s">
        <v>103</v>
      </c>
      <c r="G46" s="526"/>
      <c r="H46" s="85" t="s">
        <v>104</v>
      </c>
      <c r="I46" s="86" t="s">
        <v>105</v>
      </c>
      <c r="J46" s="31"/>
      <c r="K46" s="31" t="str">
        <f>'Bilgi Girişi - Bordro'!E27</f>
        <v>Eğitim Öğrt. Öd.</v>
      </c>
      <c r="L46" s="50"/>
    </row>
    <row r="47" spans="1:14" ht="16.5" customHeight="1" x14ac:dyDescent="0.25">
      <c r="A47" s="88"/>
      <c r="B47" s="88"/>
      <c r="C47" s="89"/>
      <c r="D47" s="90"/>
      <c r="E47" s="87"/>
      <c r="F47" s="88"/>
      <c r="G47" s="88"/>
      <c r="H47" s="89"/>
      <c r="I47" s="90"/>
      <c r="J47" s="31"/>
      <c r="K47" s="31" t="str">
        <f>'Bilgi Girişi - Bordro'!E28</f>
        <v>Gel.G.Ç.Yrd.G.Öd.</v>
      </c>
      <c r="L47" s="50"/>
    </row>
    <row r="48" spans="1:14" ht="16.5" customHeight="1" x14ac:dyDescent="0.25">
      <c r="A48" s="88"/>
      <c r="B48" s="88"/>
      <c r="C48" s="89"/>
      <c r="D48" s="90"/>
      <c r="E48" s="87"/>
      <c r="F48" s="88"/>
      <c r="G48" s="88"/>
      <c r="H48" s="89"/>
      <c r="I48" s="90"/>
      <c r="J48" s="31"/>
      <c r="K48" s="31" t="str">
        <f>'Bilgi Girişi - Bordro'!E30</f>
        <v>Tem./ Gör. Taz.</v>
      </c>
      <c r="L48" s="50"/>
    </row>
    <row r="49" spans="1:12" ht="16.5" customHeight="1" x14ac:dyDescent="0.25">
      <c r="A49" s="88"/>
      <c r="B49" s="88"/>
      <c r="C49" s="89"/>
      <c r="D49" s="90"/>
      <c r="E49" s="87"/>
      <c r="F49" s="88"/>
      <c r="G49" s="88"/>
      <c r="H49" s="89"/>
      <c r="I49" s="90"/>
      <c r="J49" s="31"/>
      <c r="K49" s="31" t="str">
        <f>'Bilgi Girişi - Bordro'!E31</f>
        <v>Ek Öde.(666 KHK</v>
      </c>
      <c r="L49" s="50"/>
    </row>
    <row r="50" spans="1:12" ht="16.5" customHeight="1" x14ac:dyDescent="0.25">
      <c r="A50" s="88"/>
      <c r="B50" s="88"/>
      <c r="C50" s="89"/>
      <c r="D50" s="90"/>
      <c r="E50" s="91"/>
      <c r="F50" s="88"/>
      <c r="G50" s="88"/>
      <c r="H50" s="89"/>
      <c r="I50" s="90"/>
      <c r="J50" s="31"/>
      <c r="K50" s="31" t="str">
        <f>'Bilgi Girişi - Bordro'!E34</f>
        <v>Toplu Söz. İkr.</v>
      </c>
      <c r="L50" s="50"/>
    </row>
    <row r="51" spans="1:12" ht="16.5" customHeight="1" x14ac:dyDescent="0.25">
      <c r="A51" s="88"/>
      <c r="B51" s="88"/>
      <c r="C51" s="89"/>
      <c r="D51" s="90"/>
      <c r="E51" s="92"/>
      <c r="F51" s="88"/>
      <c r="G51" s="88"/>
      <c r="H51" s="89"/>
      <c r="I51" s="90"/>
      <c r="J51" s="31"/>
      <c r="K51" s="31"/>
      <c r="L51" s="50">
        <f>SUM(L29:L44)</f>
        <v>0</v>
      </c>
    </row>
    <row r="52" spans="1:12" ht="16.5" customHeight="1" x14ac:dyDescent="0.25">
      <c r="A52" s="88"/>
      <c r="B52" s="88"/>
      <c r="C52" s="89"/>
      <c r="D52" s="90"/>
      <c r="E52" s="92"/>
      <c r="F52" s="88"/>
      <c r="G52" s="88"/>
      <c r="H52" s="89"/>
      <c r="I52" s="90"/>
      <c r="J52" s="31"/>
      <c r="K52" s="31"/>
      <c r="L52" s="31"/>
    </row>
    <row r="53" spans="1:12" ht="16.5" customHeight="1" x14ac:dyDescent="0.2">
      <c r="A53" s="508" t="s">
        <v>106</v>
      </c>
      <c r="B53" s="509"/>
      <c r="C53" s="509"/>
      <c r="D53" s="509"/>
      <c r="E53" s="509"/>
      <c r="F53" s="509"/>
      <c r="G53" s="509"/>
      <c r="H53" s="510"/>
      <c r="I53" s="93">
        <f>D47+D48+D49+D50+D51+D52+I47+I48+I49+I50+I51+I52</f>
        <v>0</v>
      </c>
      <c r="J53" s="31"/>
      <c r="K53" s="31"/>
      <c r="L53" s="31"/>
    </row>
  </sheetData>
  <customSheetViews>
    <customSheetView guid="{0F3F1C90-890E-4313-B539-FB7487F9242F}" scale="60" showPageBreaks="1" printArea="1" view="pageBreakPreview">
      <selection activeCell="G33" sqref="G33"/>
      <colBreaks count="1" manualBreakCount="1">
        <brk id="9" max="1048575" man="1"/>
      </colBreaks>
      <pageMargins left="0.7" right="0.7" top="0.75" bottom="0.75" header="0.3" footer="0.3"/>
      <pageSetup paperSize="9" scale="98" orientation="portrait" r:id="rId1"/>
      <headerFooter>
        <oddHeader xml:space="preserve">&amp;CİŞVERENLER PRİM DAİRE BAŞKANLIĞI 
KESENEK İADE SERVİSİ  </oddHeader>
      </headerFooter>
    </customSheetView>
  </customSheetViews>
  <mergeCells count="65">
    <mergeCell ref="A53:H53"/>
    <mergeCell ref="A34:I34"/>
    <mergeCell ref="A41:C41"/>
    <mergeCell ref="A42:I42"/>
    <mergeCell ref="A43:F43"/>
    <mergeCell ref="A44:I44"/>
    <mergeCell ref="A45:I45"/>
    <mergeCell ref="A46:B46"/>
    <mergeCell ref="F46:G46"/>
    <mergeCell ref="A35:F35"/>
    <mergeCell ref="A36:F36"/>
    <mergeCell ref="A37:C37"/>
    <mergeCell ref="A38:C38"/>
    <mergeCell ref="A39:I39"/>
    <mergeCell ref="A40:C40"/>
    <mergeCell ref="A28:I28"/>
    <mergeCell ref="A29:F29"/>
    <mergeCell ref="A31:F31"/>
    <mergeCell ref="A32:F32"/>
    <mergeCell ref="A33:F33"/>
    <mergeCell ref="A27:F27"/>
    <mergeCell ref="A20:I20"/>
    <mergeCell ref="A21:F21"/>
    <mergeCell ref="A22:D22"/>
    <mergeCell ref="E22:F22"/>
    <mergeCell ref="G22:G23"/>
    <mergeCell ref="H22:H23"/>
    <mergeCell ref="I22:I23"/>
    <mergeCell ref="A23:D23"/>
    <mergeCell ref="E23:F23"/>
    <mergeCell ref="A24:D24"/>
    <mergeCell ref="E24:F24"/>
    <mergeCell ref="G24:I24"/>
    <mergeCell ref="A25:I25"/>
    <mergeCell ref="A26:F26"/>
    <mergeCell ref="E14:I14"/>
    <mergeCell ref="A15:D15"/>
    <mergeCell ref="E15:I15"/>
    <mergeCell ref="A16:I16"/>
    <mergeCell ref="A17:D19"/>
    <mergeCell ref="E17:G17"/>
    <mergeCell ref="H17:I17"/>
    <mergeCell ref="E19:F19"/>
    <mergeCell ref="A10:I10"/>
    <mergeCell ref="A11:D11"/>
    <mergeCell ref="E11:I11"/>
    <mergeCell ref="A12:I12"/>
    <mergeCell ref="A13:D13"/>
    <mergeCell ref="E13:I13"/>
    <mergeCell ref="A6:I6"/>
    <mergeCell ref="A7:B9"/>
    <mergeCell ref="C7:D8"/>
    <mergeCell ref="E7:I7"/>
    <mergeCell ref="E8:I8"/>
    <mergeCell ref="C9:D9"/>
    <mergeCell ref="E9:I9"/>
    <mergeCell ref="A1:I1"/>
    <mergeCell ref="A2:B5"/>
    <mergeCell ref="C2:D3"/>
    <mergeCell ref="E2:I2"/>
    <mergeCell ref="E3:I3"/>
    <mergeCell ref="C4:D4"/>
    <mergeCell ref="E4:I4"/>
    <mergeCell ref="C5:D5"/>
    <mergeCell ref="E5:I5"/>
  </mergeCells>
  <pageMargins left="0.7" right="0.7" top="0.75" bottom="0.75" header="0.3" footer="0.3"/>
  <pageSetup paperSize="9" scale="98" orientation="portrait" r:id="rId2"/>
  <headerFooter>
    <oddHeader xml:space="preserve">&amp;CİŞVERENLER PRİM DAİRE BAŞKANLIĞI 
KESENEK İADE SERVİSİ  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B18"/>
  <sheetViews>
    <sheetView workbookViewId="0">
      <selection activeCell="A3" sqref="A3:B5"/>
    </sheetView>
  </sheetViews>
  <sheetFormatPr defaultRowHeight="19.5" x14ac:dyDescent="0.3"/>
  <cols>
    <col min="1" max="1" width="42" style="141" customWidth="1"/>
    <col min="2" max="2" width="27.5703125" style="141" customWidth="1"/>
    <col min="3" max="16384" width="9.140625" style="141"/>
  </cols>
  <sheetData>
    <row r="3" spans="1:2" x14ac:dyDescent="0.3">
      <c r="A3" s="541" t="s">
        <v>195</v>
      </c>
      <c r="B3" s="542"/>
    </row>
    <row r="4" spans="1:2" x14ac:dyDescent="0.3">
      <c r="A4" s="542"/>
      <c r="B4" s="542"/>
    </row>
    <row r="5" spans="1:2" x14ac:dyDescent="0.3">
      <c r="A5" s="542"/>
      <c r="B5" s="542"/>
    </row>
    <row r="7" spans="1:2" x14ac:dyDescent="0.3">
      <c r="A7" s="142" t="s">
        <v>208</v>
      </c>
      <c r="B7" s="145">
        <v>41275</v>
      </c>
    </row>
    <row r="8" spans="1:2" x14ac:dyDescent="0.3">
      <c r="A8" s="142" t="s">
        <v>153</v>
      </c>
      <c r="B8" s="145">
        <v>41395</v>
      </c>
    </row>
    <row r="9" spans="1:2" x14ac:dyDescent="0.3">
      <c r="A9" s="142" t="s">
        <v>155</v>
      </c>
      <c r="B9" s="143">
        <v>0.09</v>
      </c>
    </row>
    <row r="10" spans="1:2" x14ac:dyDescent="0.3">
      <c r="A10" s="142" t="s">
        <v>152</v>
      </c>
      <c r="B10" s="144">
        <f>Bildirim!O15</f>
        <v>0</v>
      </c>
    </row>
    <row r="11" spans="1:2" x14ac:dyDescent="0.3">
      <c r="A11" s="142" t="s">
        <v>154</v>
      </c>
      <c r="B11" s="144">
        <f>IF(B10*((B8-B7)-30)*B9/360&gt;0,B10*((B8-B7)-30)*B9/360,0)</f>
        <v>0</v>
      </c>
    </row>
    <row r="12" spans="1:2" x14ac:dyDescent="0.3">
      <c r="A12" s="142" t="s">
        <v>4</v>
      </c>
      <c r="B12" s="144">
        <f>B10+B11</f>
        <v>0</v>
      </c>
    </row>
    <row r="14" spans="1:2" x14ac:dyDescent="0.3">
      <c r="A14" s="540" t="s">
        <v>156</v>
      </c>
      <c r="B14" s="540"/>
    </row>
    <row r="15" spans="1:2" x14ac:dyDescent="0.3">
      <c r="A15" s="540"/>
      <c r="B15" s="540"/>
    </row>
    <row r="16" spans="1:2" x14ac:dyDescent="0.3">
      <c r="A16" s="540"/>
      <c r="B16" s="540"/>
    </row>
    <row r="17" spans="1:2" x14ac:dyDescent="0.3">
      <c r="A17" s="540"/>
      <c r="B17" s="540"/>
    </row>
    <row r="18" spans="1:2" x14ac:dyDescent="0.3">
      <c r="A18" s="540"/>
      <c r="B18" s="540"/>
    </row>
  </sheetData>
  <sheetProtection password="EFA6" sheet="1"/>
  <mergeCells count="2">
    <mergeCell ref="A14:B18"/>
    <mergeCell ref="A3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2"/>
  <sheetViews>
    <sheetView topLeftCell="A16" zoomScale="130" zoomScaleNormal="130" workbookViewId="0">
      <selection activeCell="K21" sqref="K21"/>
    </sheetView>
  </sheetViews>
  <sheetFormatPr defaultRowHeight="15" x14ac:dyDescent="0.25"/>
  <cols>
    <col min="1" max="1" width="17.42578125" bestFit="1" customWidth="1"/>
    <col min="2" max="4" width="7.85546875" customWidth="1"/>
    <col min="5" max="5" width="2.42578125" style="146" customWidth="1"/>
    <col min="6" max="6" width="17.42578125" customWidth="1"/>
    <col min="7" max="9" width="7.85546875" customWidth="1"/>
    <col min="10" max="10" width="2.140625" bestFit="1" customWidth="1"/>
  </cols>
  <sheetData>
    <row r="1" spans="1:10" x14ac:dyDescent="0.25">
      <c r="A1" s="562" t="s">
        <v>157</v>
      </c>
      <c r="B1" s="562"/>
      <c r="C1" s="562"/>
      <c r="D1" s="562"/>
    </row>
    <row r="2" spans="1:10" ht="15.75" thickBot="1" x14ac:dyDescent="0.3">
      <c r="A2" s="563" t="s">
        <v>158</v>
      </c>
      <c r="B2" s="563"/>
      <c r="C2" s="563"/>
      <c r="D2" s="563"/>
    </row>
    <row r="3" spans="1:10" ht="15.75" thickBot="1" x14ac:dyDescent="0.3">
      <c r="A3" s="147" t="s">
        <v>159</v>
      </c>
      <c r="B3" s="164"/>
      <c r="E3" s="556" t="s">
        <v>160</v>
      </c>
      <c r="F3" s="557"/>
    </row>
    <row r="4" spans="1:10" ht="21.75" customHeight="1" thickBot="1" x14ac:dyDescent="0.3">
      <c r="A4" s="148" t="s">
        <v>161</v>
      </c>
      <c r="B4" s="164"/>
      <c r="E4" s="556" t="s">
        <v>162</v>
      </c>
      <c r="F4" s="557"/>
    </row>
    <row r="5" spans="1:10" ht="15.75" customHeight="1" thickBot="1" x14ac:dyDescent="0.3">
      <c r="A5" s="148" t="s">
        <v>163</v>
      </c>
      <c r="B5" s="164"/>
      <c r="E5" s="558" t="s">
        <v>115</v>
      </c>
      <c r="F5" s="559"/>
    </row>
    <row r="6" spans="1:10" ht="15.75" thickBot="1" x14ac:dyDescent="0.3">
      <c r="A6" s="148" t="s">
        <v>164</v>
      </c>
      <c r="B6" s="164"/>
      <c r="E6" s="560" t="s">
        <v>113</v>
      </c>
      <c r="F6" s="561"/>
    </row>
    <row r="7" spans="1:10" x14ac:dyDescent="0.25">
      <c r="A7" s="149"/>
    </row>
    <row r="8" spans="1:10" ht="15.75" thickBot="1" x14ac:dyDescent="0.3">
      <c r="A8" s="543" t="s">
        <v>191</v>
      </c>
      <c r="B8" s="543"/>
      <c r="C8" s="543"/>
      <c r="D8" s="543"/>
      <c r="F8" s="170" t="s">
        <v>190</v>
      </c>
      <c r="G8" s="170"/>
      <c r="H8" s="170"/>
      <c r="I8" s="170"/>
    </row>
    <row r="9" spans="1:10" ht="22.5" x14ac:dyDescent="0.25">
      <c r="A9" s="544" t="s">
        <v>165</v>
      </c>
      <c r="B9" s="151" t="s">
        <v>166</v>
      </c>
      <c r="C9" s="151" t="s">
        <v>167</v>
      </c>
      <c r="D9" s="152" t="s">
        <v>168</v>
      </c>
      <c r="F9" s="566" t="s">
        <v>165</v>
      </c>
      <c r="G9" s="151" t="s">
        <v>184</v>
      </c>
      <c r="H9" s="151" t="s">
        <v>185</v>
      </c>
      <c r="I9" s="151" t="s">
        <v>168</v>
      </c>
      <c r="J9" s="146"/>
    </row>
    <row r="10" spans="1:10" x14ac:dyDescent="0.25">
      <c r="A10" s="545"/>
      <c r="B10" s="153" t="s">
        <v>169</v>
      </c>
      <c r="C10" s="153" t="s">
        <v>170</v>
      </c>
      <c r="D10" s="154" t="s">
        <v>171</v>
      </c>
      <c r="F10" s="567"/>
      <c r="G10" s="153" t="s">
        <v>169</v>
      </c>
      <c r="H10" s="153" t="s">
        <v>170</v>
      </c>
      <c r="I10" s="154" t="s">
        <v>171</v>
      </c>
      <c r="J10" s="146"/>
    </row>
    <row r="11" spans="1:10" ht="22.5" x14ac:dyDescent="0.25">
      <c r="A11" s="165" t="str">
        <f>'Bilgi Girişi - Bordro'!E9</f>
        <v>Aylık Tutar</v>
      </c>
      <c r="B11" s="168">
        <f>'Bilgi Girişi - Bordro'!F9</f>
        <v>0</v>
      </c>
      <c r="C11" s="168">
        <f>'Bilgi Girişi - Bordro'!G9</f>
        <v>0</v>
      </c>
      <c r="D11" s="168">
        <f>'Bilgi Girişi - Bordro'!H9</f>
        <v>0</v>
      </c>
      <c r="F11" s="165" t="str">
        <f>'Bilgi Girişi - Bordro'!I13</f>
        <v>Emekli Keseneği (Devlet)</v>
      </c>
      <c r="G11" s="167">
        <f>'Bilgi Girişi - Bordro'!J13</f>
        <v>0</v>
      </c>
      <c r="H11" s="167">
        <f>'Bilgi Girişi - Bordro'!K13</f>
        <v>0</v>
      </c>
      <c r="I11" s="167">
        <f>'Bilgi Girişi - Bordro'!L13</f>
        <v>0</v>
      </c>
      <c r="J11" s="146"/>
    </row>
    <row r="12" spans="1:10" x14ac:dyDescent="0.25">
      <c r="A12" s="165" t="str">
        <f>'Bilgi Girişi - Bordro'!E10</f>
        <v>Taban Aylık</v>
      </c>
      <c r="B12" s="168">
        <f>'Bilgi Girişi - Bordro'!F10</f>
        <v>0</v>
      </c>
      <c r="C12" s="168">
        <f>'Bilgi Girişi - Bordro'!G10</f>
        <v>0</v>
      </c>
      <c r="D12" s="168">
        <f>'Bilgi Girişi - Bordro'!H10</f>
        <v>0</v>
      </c>
      <c r="F12" s="165" t="str">
        <f>'Bilgi Girişi - Bordro'!E18</f>
        <v>Giriş %25 (Devlet)</v>
      </c>
      <c r="G12" s="167">
        <f>'Bilgi Girişi - Bordro'!F18</f>
        <v>0</v>
      </c>
      <c r="H12" s="167">
        <v>0</v>
      </c>
      <c r="I12" s="167">
        <f>G12-H12</f>
        <v>0</v>
      </c>
      <c r="J12" s="146"/>
    </row>
    <row r="13" spans="1:10" x14ac:dyDescent="0.25">
      <c r="A13" s="165" t="str">
        <f>'Bilgi Girişi - Bordro'!E11</f>
        <v>Ek Gosterge</v>
      </c>
      <c r="B13" s="168">
        <f>'Bilgi Girişi - Bordro'!F11</f>
        <v>0</v>
      </c>
      <c r="C13" s="168">
        <f>'Bilgi Girişi - Bordro'!G11</f>
        <v>0</v>
      </c>
      <c r="D13" s="168">
        <f>'Bilgi Girişi - Bordro'!H11</f>
        <v>0</v>
      </c>
      <c r="F13" s="165" t="str">
        <f>'Bilgi Girişi - Bordro'!E19</f>
        <v>Artış %100 (Devlet)</v>
      </c>
      <c r="G13" s="167">
        <f>'Bilgi Girişi - Bordro'!F19</f>
        <v>0</v>
      </c>
      <c r="H13" s="167">
        <v>0</v>
      </c>
      <c r="I13" s="167">
        <f>G13-H13</f>
        <v>0</v>
      </c>
      <c r="J13" s="146"/>
    </row>
    <row r="14" spans="1:10" x14ac:dyDescent="0.25">
      <c r="A14" s="165" t="str">
        <f>'Bilgi Girişi - Bordro'!E12</f>
        <v>Yan Odeme</v>
      </c>
      <c r="B14" s="168">
        <f>'Bilgi Girişi - Bordro'!F12</f>
        <v>0</v>
      </c>
      <c r="C14" s="168">
        <f>'Bilgi Girişi - Bordro'!G12</f>
        <v>0</v>
      </c>
      <c r="D14" s="168">
        <f>'Bilgi Girişi - Bordro'!H12</f>
        <v>0</v>
      </c>
      <c r="F14" s="165" t="s">
        <v>173</v>
      </c>
      <c r="G14" s="157">
        <f>SUM(G12:G13)</f>
        <v>0</v>
      </c>
      <c r="H14" s="157">
        <f>SUM(H12:H13)</f>
        <v>0</v>
      </c>
      <c r="I14" s="157">
        <f>SUM(I11:I13)</f>
        <v>0</v>
      </c>
      <c r="J14" s="146">
        <v>2</v>
      </c>
    </row>
    <row r="15" spans="1:10" x14ac:dyDescent="0.25">
      <c r="A15" s="165" t="str">
        <f>'Bilgi Girişi - Bordro'!E13</f>
        <v>Kıdem Aylık</v>
      </c>
      <c r="B15" s="168">
        <f>'Bilgi Girişi - Bordro'!F13</f>
        <v>0</v>
      </c>
      <c r="C15" s="168">
        <f>'Bilgi Girişi - Bordro'!G13</f>
        <v>0</v>
      </c>
      <c r="D15" s="168">
        <f>'Bilgi Girişi - Bordro'!H13</f>
        <v>0</v>
      </c>
    </row>
    <row r="16" spans="1:10" ht="15.75" thickBot="1" x14ac:dyDescent="0.3">
      <c r="A16" s="165" t="str">
        <f>'Bilgi Girişi - Bordro'!E15</f>
        <v>Aile Yardımı</v>
      </c>
      <c r="B16" s="168">
        <f>'Bilgi Girişi - Bordro'!F15</f>
        <v>0</v>
      </c>
      <c r="C16" s="168">
        <f>'Bilgi Girişi - Bordro'!G15</f>
        <v>0</v>
      </c>
      <c r="D16" s="168">
        <f>'Bilgi Girişi - Bordro'!H15</f>
        <v>0</v>
      </c>
      <c r="F16" s="150" t="s">
        <v>192</v>
      </c>
      <c r="G16" s="150"/>
      <c r="H16" s="150"/>
      <c r="I16" s="150"/>
      <c r="J16" s="146"/>
    </row>
    <row r="17" spans="1:10" x14ac:dyDescent="0.25">
      <c r="A17" s="165" t="str">
        <f>'Bilgi Girişi - Bordro'!E16</f>
        <v>Çocuk Yardımı</v>
      </c>
      <c r="B17" s="168">
        <f>'Bilgi Girişi - Bordro'!F16</f>
        <v>0</v>
      </c>
      <c r="C17" s="168">
        <f>'Bilgi Girişi - Bordro'!G16</f>
        <v>0</v>
      </c>
      <c r="D17" s="168">
        <f>'Bilgi Girişi - Bordro'!H16</f>
        <v>0</v>
      </c>
      <c r="F17" s="554" t="s">
        <v>165</v>
      </c>
      <c r="G17" s="151" t="s">
        <v>186</v>
      </c>
      <c r="H17" s="151" t="s">
        <v>187</v>
      </c>
      <c r="I17" s="151" t="s">
        <v>168</v>
      </c>
      <c r="J17" s="146"/>
    </row>
    <row r="18" spans="1:10" x14ac:dyDescent="0.25">
      <c r="A18" s="165" t="str">
        <f>'Bilgi Girişi - Bordro'!E17</f>
        <v>Em.Kes.Dev.</v>
      </c>
      <c r="B18" s="168">
        <f>'Bilgi Girişi - Bordro'!F17</f>
        <v>0</v>
      </c>
      <c r="C18" s="168">
        <f>'Bilgi Girişi - Bordro'!G17</f>
        <v>0</v>
      </c>
      <c r="D18" s="168">
        <f>'Bilgi Girişi - Bordro'!H17</f>
        <v>0</v>
      </c>
      <c r="F18" s="555"/>
      <c r="G18" s="153" t="s">
        <v>169</v>
      </c>
      <c r="H18" s="153" t="s">
        <v>170</v>
      </c>
      <c r="I18" s="154" t="s">
        <v>171</v>
      </c>
      <c r="J18" s="146"/>
    </row>
    <row r="19" spans="1:10" x14ac:dyDescent="0.25">
      <c r="A19" s="165" t="str">
        <f>'Bilgi Girişi - Bordro'!E18</f>
        <v>Giriş %25 (Devlet)</v>
      </c>
      <c r="B19" s="168">
        <f>'Bilgi Girişi - Bordro'!F18</f>
        <v>0</v>
      </c>
      <c r="C19" s="168">
        <f>'Bilgi Girişi - Bordro'!G18</f>
        <v>0</v>
      </c>
      <c r="D19" s="168">
        <f>'Bilgi Girişi - Bordro'!H18</f>
        <v>0</v>
      </c>
      <c r="F19" s="166" t="str">
        <f>'Bilgi Girişi - Bordro'!I9</f>
        <v>Gelir Vergisi</v>
      </c>
      <c r="G19" s="169">
        <f>'Bilgi Girişi - Bordro'!J9</f>
        <v>0</v>
      </c>
      <c r="H19" s="169">
        <f>'Bilgi Girişi - Bordro'!K9</f>
        <v>0</v>
      </c>
      <c r="I19" s="169">
        <f>'Bilgi Girişi - Bordro'!L9</f>
        <v>0</v>
      </c>
      <c r="J19" s="146"/>
    </row>
    <row r="20" spans="1:10" x14ac:dyDescent="0.25">
      <c r="A20" s="165" t="str">
        <f>'Bilgi Girişi - Bordro'!E19</f>
        <v>Artış %100 (Devlet)</v>
      </c>
      <c r="B20" s="168">
        <f>'Bilgi Girişi - Bordro'!F19</f>
        <v>0</v>
      </c>
      <c r="C20" s="168">
        <f>'Bilgi Girişi - Bordro'!G19</f>
        <v>0</v>
      </c>
      <c r="D20" s="168">
        <f>'Bilgi Girişi - Bordro'!H19</f>
        <v>0</v>
      </c>
      <c r="F20" s="166" t="str">
        <f>'Bilgi Girişi - Bordro'!I10</f>
        <v>Damga Vergisi</v>
      </c>
      <c r="G20" s="169">
        <f>'Bilgi Girişi - Bordro'!J10</f>
        <v>0</v>
      </c>
      <c r="H20" s="169">
        <f>'Bilgi Girişi - Bordro'!K10</f>
        <v>0</v>
      </c>
      <c r="I20" s="169">
        <f>'Bilgi Girişi - Bordro'!L10</f>
        <v>0</v>
      </c>
      <c r="J20" s="146"/>
    </row>
    <row r="21" spans="1:10" x14ac:dyDescent="0.25">
      <c r="A21" s="165" t="str">
        <f>'Bilgi Girişi - Bordro'!E20</f>
        <v>Özel Hiz. Taz.</v>
      </c>
      <c r="B21" s="168">
        <f>'Bilgi Girişi - Bordro'!F20</f>
        <v>0</v>
      </c>
      <c r="C21" s="168">
        <f>'Bilgi Girişi - Bordro'!G20</f>
        <v>0</v>
      </c>
      <c r="D21" s="168">
        <f>'Bilgi Girişi - Bordro'!H20</f>
        <v>0</v>
      </c>
      <c r="F21" s="166" t="s">
        <v>188</v>
      </c>
      <c r="G21" s="169">
        <f>'Bilgi Girişi - Bordro'!F18</f>
        <v>0</v>
      </c>
      <c r="H21" s="169">
        <f>'Bilgi Girişi - Bordro'!K11</f>
        <v>0</v>
      </c>
      <c r="I21" s="169">
        <f>'Bilgi Girişi - Bordro'!L11</f>
        <v>0</v>
      </c>
      <c r="J21" s="146"/>
    </row>
    <row r="22" spans="1:10" x14ac:dyDescent="0.25">
      <c r="A22" s="165" t="str">
        <f>'Bilgi Girişi - Bordro'!E21</f>
        <v>Makam Tazminatı</v>
      </c>
      <c r="B22" s="168">
        <f>'Bilgi Girişi - Bordro'!F21</f>
        <v>0</v>
      </c>
      <c r="C22" s="168">
        <f>'Bilgi Girişi - Bordro'!G21</f>
        <v>0</v>
      </c>
      <c r="D22" s="168">
        <f>'Bilgi Girişi - Bordro'!H21</f>
        <v>0</v>
      </c>
      <c r="F22" s="166" t="s">
        <v>189</v>
      </c>
      <c r="G22" s="169">
        <f>'Bilgi Girişi - Bordro'!F19</f>
        <v>0</v>
      </c>
      <c r="H22" s="169">
        <f>'Bilgi Girişi - Bordro'!K12</f>
        <v>0</v>
      </c>
      <c r="I22" s="169">
        <f>'Bilgi Girişi - Bordro'!L12</f>
        <v>0</v>
      </c>
      <c r="J22" s="146"/>
    </row>
    <row r="23" spans="1:10" x14ac:dyDescent="0.25">
      <c r="A23" s="165" t="str">
        <f>'Bilgi Girişi - Bordro'!E23</f>
        <v>Lojman Yardımı</v>
      </c>
      <c r="B23" s="168">
        <f>'Bilgi Girişi - Bordro'!F23</f>
        <v>0</v>
      </c>
      <c r="C23" s="168">
        <f>'Bilgi Girişi - Bordro'!G23</f>
        <v>0</v>
      </c>
      <c r="D23" s="168">
        <f>'Bilgi Girişi - Bordro'!H23</f>
        <v>0</v>
      </c>
      <c r="F23" s="166" t="str">
        <f>'Bilgi Girişi - Bordro'!I14</f>
        <v>Emekli Keseneği (Kişi)</v>
      </c>
      <c r="G23" s="169">
        <f>'Bilgi Girişi - Bordro'!J14</f>
        <v>0</v>
      </c>
      <c r="H23" s="169">
        <f>'Bilgi Girişi - Bordro'!K14</f>
        <v>0</v>
      </c>
      <c r="I23" s="169">
        <f>'Bilgi Girişi - Bordro'!L14</f>
        <v>0</v>
      </c>
      <c r="J23" s="146"/>
    </row>
    <row r="24" spans="1:10" x14ac:dyDescent="0.25">
      <c r="A24" s="165" t="str">
        <f>'Bilgi Girişi - Bordro'!E24</f>
        <v>Sağ. Sig. Pir. (D)</v>
      </c>
      <c r="B24" s="168">
        <f>'Bilgi Girişi - Bordro'!F24</f>
        <v>0</v>
      </c>
      <c r="C24" s="168">
        <f>'Bilgi Girişi - Bordro'!G24</f>
        <v>0</v>
      </c>
      <c r="D24" s="168">
        <f>'Bilgi Girişi - Bordro'!H24</f>
        <v>0</v>
      </c>
      <c r="F24" s="166" t="str">
        <f>'Bilgi Girişi - Bordro'!I15</f>
        <v>Gen.Sag.Sig.Pir.(Devlet)</v>
      </c>
      <c r="G24" s="169">
        <f>'Bilgi Girişi - Bordro'!J15</f>
        <v>0</v>
      </c>
      <c r="H24" s="169">
        <f>'Bilgi Girişi - Bordro'!K15</f>
        <v>0</v>
      </c>
      <c r="I24" s="169">
        <f>'Bilgi Girişi - Bordro'!L15</f>
        <v>0</v>
      </c>
      <c r="J24" s="162"/>
    </row>
    <row r="25" spans="1:10" x14ac:dyDescent="0.25">
      <c r="A25" s="165" t="str">
        <f>'Bilgi Girişi - Bordro'!E25</f>
        <v>Ünv. Ödeneği</v>
      </c>
      <c r="B25" s="168">
        <f>'Bilgi Girişi - Bordro'!F25</f>
        <v>0</v>
      </c>
      <c r="C25" s="168">
        <f>'Bilgi Girişi - Bordro'!G25</f>
        <v>0</v>
      </c>
      <c r="D25" s="168">
        <f>'Bilgi Girişi - Bordro'!H25</f>
        <v>0</v>
      </c>
      <c r="F25" s="166" t="str">
        <f>'Bilgi Girişi - Bordro'!I16</f>
        <v>Gen.Sag.Sig.Pir.(Kişi)</v>
      </c>
      <c r="G25" s="169">
        <f>'Bilgi Girişi - Bordro'!J16</f>
        <v>0</v>
      </c>
      <c r="H25" s="169">
        <f>'Bilgi Girişi - Bordro'!K16</f>
        <v>0</v>
      </c>
      <c r="I25" s="169">
        <f>'Bilgi Girişi - Bordro'!L16</f>
        <v>0</v>
      </c>
      <c r="J25" s="162"/>
    </row>
    <row r="26" spans="1:10" x14ac:dyDescent="0.25">
      <c r="A26" s="165" t="str">
        <f>'Bilgi Girişi - Bordro'!E26</f>
        <v>İdari Görev Öd.</v>
      </c>
      <c r="B26" s="168">
        <f>'Bilgi Girişi - Bordro'!F26</f>
        <v>0</v>
      </c>
      <c r="C26" s="168">
        <f>'Bilgi Girişi - Bordro'!G26</f>
        <v>0</v>
      </c>
      <c r="D26" s="168">
        <f>'Bilgi Girişi - Bordro'!H26</f>
        <v>0</v>
      </c>
      <c r="F26" s="166" t="str">
        <f>'Bilgi Girişi - Bordro'!I17</f>
        <v>Sendika Aidati</v>
      </c>
      <c r="G26" s="169">
        <f>'Bilgi Girişi - Bordro'!J17</f>
        <v>0</v>
      </c>
      <c r="H26" s="169">
        <f>'Bilgi Girişi - Bordro'!K17</f>
        <v>0</v>
      </c>
      <c r="I26" s="169">
        <f>'Bilgi Girişi - Bordro'!L17</f>
        <v>0</v>
      </c>
      <c r="J26" s="162"/>
    </row>
    <row r="27" spans="1:10" x14ac:dyDescent="0.25">
      <c r="A27" s="165" t="str">
        <f>'Bilgi Girişi - Bordro'!E27</f>
        <v>Eğitim Öğrt. Öd.</v>
      </c>
      <c r="B27" s="168">
        <f>'Bilgi Girişi - Bordro'!F27</f>
        <v>0</v>
      </c>
      <c r="C27" s="168">
        <f>'Bilgi Girişi - Bordro'!G27</f>
        <v>0</v>
      </c>
      <c r="D27" s="168">
        <f>'Bilgi Girişi - Bordro'!H27</f>
        <v>0</v>
      </c>
      <c r="F27" s="166" t="str">
        <f>'Bilgi Girişi - Bordro'!I18</f>
        <v>İcra</v>
      </c>
      <c r="G27" s="169">
        <f>'Bilgi Girişi - Bordro'!J18</f>
        <v>0</v>
      </c>
      <c r="H27" s="169">
        <f>'Bilgi Girişi - Bordro'!K18</f>
        <v>0</v>
      </c>
      <c r="I27" s="169">
        <f>'Bilgi Girişi - Bordro'!L18</f>
        <v>0</v>
      </c>
      <c r="J27" s="162"/>
    </row>
    <row r="28" spans="1:10" x14ac:dyDescent="0.25">
      <c r="A28" s="165" t="str">
        <f>'Bilgi Girişi - Bordro'!E28</f>
        <v>Gel.G.Ç.Yrd.G.Öd.</v>
      </c>
      <c r="B28" s="168">
        <f>'Bilgi Girişi - Bordro'!F28</f>
        <v>0</v>
      </c>
      <c r="C28" s="168">
        <f>'Bilgi Girişi - Bordro'!G28</f>
        <v>0</v>
      </c>
      <c r="D28" s="168">
        <f>'Bilgi Girişi - Bordro'!H28</f>
        <v>0</v>
      </c>
      <c r="F28" s="166" t="str">
        <f>'Bilgi Girişi - Bordro'!I19</f>
        <v>Nafaka</v>
      </c>
      <c r="G28" s="169">
        <f>'Bilgi Girişi - Bordro'!J19</f>
        <v>0</v>
      </c>
      <c r="H28" s="169">
        <f>'Bilgi Girişi - Bordro'!K19</f>
        <v>0</v>
      </c>
      <c r="I28" s="169">
        <f>'Bilgi Girişi - Bordro'!L19</f>
        <v>0</v>
      </c>
      <c r="J28" s="162"/>
    </row>
    <row r="29" spans="1:10" x14ac:dyDescent="0.25">
      <c r="A29" s="165" t="str">
        <f>'Bilgi Girişi - Bordro'!E30</f>
        <v>Tem./ Gör. Taz.</v>
      </c>
      <c r="B29" s="168">
        <f>'Bilgi Girişi - Bordro'!F30</f>
        <v>0</v>
      </c>
      <c r="C29" s="168">
        <f>'Bilgi Girişi - Bordro'!G30</f>
        <v>0</v>
      </c>
      <c r="D29" s="168">
        <f>'Bilgi Girişi - Bordro'!H30</f>
        <v>0</v>
      </c>
      <c r="F29" s="166" t="str">
        <f>'Bilgi Girişi - Bordro'!I20</f>
        <v>Kişi Borcu Mahsubu</v>
      </c>
      <c r="G29" s="169">
        <f>'Bilgi Girişi - Bordro'!J20</f>
        <v>0</v>
      </c>
      <c r="H29" s="169">
        <f>'Bilgi Girişi - Bordro'!K20</f>
        <v>0</v>
      </c>
      <c r="I29" s="169">
        <f>'Bilgi Girişi - Bordro'!L20</f>
        <v>0</v>
      </c>
      <c r="J29" s="162"/>
    </row>
    <row r="30" spans="1:10" x14ac:dyDescent="0.25">
      <c r="A30" s="165" t="str">
        <f>'Bilgi Girişi - Bordro'!E31</f>
        <v>Ek Öde.(666 KHK</v>
      </c>
      <c r="B30" s="168">
        <f>'Bilgi Girişi - Bordro'!F31</f>
        <v>0</v>
      </c>
      <c r="C30" s="168">
        <f>'Bilgi Girişi - Bordro'!G31</f>
        <v>0</v>
      </c>
      <c r="D30" s="168">
        <f>'Bilgi Girişi - Bordro'!H31</f>
        <v>0</v>
      </c>
      <c r="F30" s="166" t="str">
        <f>'Bilgi Girişi - Bordro'!I21</f>
        <v>BES Kesintisi</v>
      </c>
      <c r="G30" s="169">
        <f>'Bilgi Girişi - Bordro'!J21</f>
        <v>0</v>
      </c>
      <c r="H30" s="169">
        <f>'Bilgi Girişi - Bordro'!K21</f>
        <v>0</v>
      </c>
      <c r="I30" s="169">
        <f>'Bilgi Girişi - Bordro'!L21</f>
        <v>0</v>
      </c>
      <c r="J30" s="162"/>
    </row>
    <row r="31" spans="1:10" x14ac:dyDescent="0.25">
      <c r="A31" s="165" t="str">
        <f>'Bilgi Girişi - Bordro'!E34</f>
        <v>Toplu Söz. İkr.</v>
      </c>
      <c r="B31" s="168">
        <f>'Bilgi Girişi - Bordro'!F34</f>
        <v>0</v>
      </c>
      <c r="C31" s="168">
        <f>'Bilgi Girişi - Bordro'!G34</f>
        <v>0</v>
      </c>
      <c r="D31" s="168">
        <f>'Bilgi Girişi - Bordro'!H34</f>
        <v>0</v>
      </c>
      <c r="F31" s="166" t="str">
        <f>'Bilgi Girişi - Bordro'!I22</f>
        <v>Diğer Kesintiler</v>
      </c>
      <c r="G31" s="169">
        <f>'Bilgi Girişi - Bordro'!J22</f>
        <v>0</v>
      </c>
      <c r="H31" s="169">
        <f>'Bilgi Girişi - Bordro'!K22</f>
        <v>0</v>
      </c>
      <c r="I31" s="169">
        <f>'Bilgi Girişi - Bordro'!L22</f>
        <v>0</v>
      </c>
      <c r="J31" s="162"/>
    </row>
    <row r="32" spans="1:10" ht="15.75" thickBot="1" x14ac:dyDescent="0.3">
      <c r="A32" s="165" t="s">
        <v>172</v>
      </c>
      <c r="B32" s="155">
        <f>SUM(B11:B31)</f>
        <v>0</v>
      </c>
      <c r="C32" s="155">
        <f>SUM(C11:C31)</f>
        <v>0</v>
      </c>
      <c r="D32" s="156">
        <f>SUM(D11:D31)</f>
        <v>0</v>
      </c>
      <c r="E32" s="146">
        <v>1</v>
      </c>
      <c r="F32" s="165" t="s">
        <v>173</v>
      </c>
      <c r="G32" s="161">
        <f>SUM(G19:G31)</f>
        <v>0</v>
      </c>
      <c r="H32" s="161">
        <f>SUM(H19:H31)</f>
        <v>0</v>
      </c>
      <c r="I32" s="161">
        <f>SUM(I19:I31)</f>
        <v>0</v>
      </c>
      <c r="J32" s="146">
        <v>3</v>
      </c>
    </row>
    <row r="33" spans="1:9" x14ac:dyDescent="0.25">
      <c r="A33" s="149"/>
    </row>
    <row r="34" spans="1:9" ht="15.75" thickBot="1" x14ac:dyDescent="0.3">
      <c r="A34" s="543" t="s">
        <v>174</v>
      </c>
      <c r="B34" s="546"/>
      <c r="C34" s="546"/>
      <c r="D34" s="543"/>
    </row>
    <row r="35" spans="1:9" ht="15" customHeight="1" x14ac:dyDescent="0.25">
      <c r="A35" s="547" t="s">
        <v>175</v>
      </c>
      <c r="B35" s="549" t="s">
        <v>176</v>
      </c>
      <c r="C35" s="550"/>
      <c r="D35" s="550"/>
      <c r="E35" s="550"/>
      <c r="F35" s="550"/>
      <c r="G35" s="551"/>
      <c r="H35" s="158"/>
      <c r="I35" s="158">
        <v>483960</v>
      </c>
    </row>
    <row r="36" spans="1:9" ht="15" customHeight="1" x14ac:dyDescent="0.25">
      <c r="A36" s="548"/>
      <c r="B36" s="549" t="s">
        <v>177</v>
      </c>
      <c r="C36" s="550"/>
      <c r="D36" s="550"/>
      <c r="E36" s="550"/>
      <c r="F36" s="550"/>
      <c r="G36" s="551"/>
      <c r="H36" s="163">
        <f>D32-I32</f>
        <v>0</v>
      </c>
      <c r="I36" s="159">
        <v>407330</v>
      </c>
    </row>
    <row r="37" spans="1:9" ht="15" customHeight="1" x14ac:dyDescent="0.25">
      <c r="A37" s="552" t="s">
        <v>178</v>
      </c>
      <c r="B37" s="549" t="s">
        <v>179</v>
      </c>
      <c r="C37" s="550"/>
      <c r="D37" s="550"/>
      <c r="E37" s="550"/>
      <c r="F37" s="550"/>
      <c r="G37" s="551"/>
      <c r="H37" s="159"/>
      <c r="I37" s="159">
        <v>506820</v>
      </c>
    </row>
    <row r="38" spans="1:9" ht="15.75" customHeight="1" thickBot="1" x14ac:dyDescent="0.3">
      <c r="A38" s="553"/>
      <c r="B38" s="549" t="s">
        <v>180</v>
      </c>
      <c r="C38" s="550"/>
      <c r="D38" s="550"/>
      <c r="E38" s="550"/>
      <c r="F38" s="550"/>
      <c r="G38" s="551"/>
      <c r="H38" s="160"/>
      <c r="I38" s="160">
        <v>430190</v>
      </c>
    </row>
    <row r="39" spans="1:9" x14ac:dyDescent="0.25">
      <c r="A39" s="149"/>
    </row>
    <row r="40" spans="1:9" x14ac:dyDescent="0.25">
      <c r="A40" s="568" t="s">
        <v>181</v>
      </c>
      <c r="B40" s="569"/>
      <c r="C40" s="569"/>
      <c r="D40" s="569"/>
      <c r="E40"/>
    </row>
    <row r="41" spans="1:9" x14ac:dyDescent="0.25">
      <c r="A41" s="564" t="s">
        <v>182</v>
      </c>
      <c r="B41" s="565"/>
      <c r="C41" s="565"/>
      <c r="D41" s="565"/>
      <c r="E41" s="565"/>
      <c r="F41" s="565"/>
      <c r="G41" s="565"/>
      <c r="H41" s="565"/>
      <c r="I41" s="565"/>
    </row>
    <row r="42" spans="1:9" ht="15" customHeight="1" x14ac:dyDescent="0.25">
      <c r="A42" s="564" t="s">
        <v>183</v>
      </c>
      <c r="B42" s="565"/>
      <c r="C42" s="565"/>
      <c r="D42" s="565"/>
      <c r="E42" s="565"/>
      <c r="F42" s="565"/>
      <c r="G42" s="565"/>
      <c r="H42" s="565"/>
      <c r="I42" s="565"/>
    </row>
  </sheetData>
  <mergeCells count="20">
    <mergeCell ref="A41:I41"/>
    <mergeCell ref="F9:F10"/>
    <mergeCell ref="A42:I42"/>
    <mergeCell ref="B35:G35"/>
    <mergeCell ref="B36:G36"/>
    <mergeCell ref="A40:D40"/>
    <mergeCell ref="E3:F3"/>
    <mergeCell ref="E4:F4"/>
    <mergeCell ref="E5:F5"/>
    <mergeCell ref="E6:F6"/>
    <mergeCell ref="A1:D1"/>
    <mergeCell ref="A2:D2"/>
    <mergeCell ref="A8:D8"/>
    <mergeCell ref="A9:A10"/>
    <mergeCell ref="A34:D34"/>
    <mergeCell ref="A35:A36"/>
    <mergeCell ref="B37:G37"/>
    <mergeCell ref="A37:A38"/>
    <mergeCell ref="B38:G38"/>
    <mergeCell ref="F17:F18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40</vt:i4>
      </vt:variant>
    </vt:vector>
  </HeadingPairs>
  <TitlesOfParts>
    <vt:vector size="46" baseType="lpstr">
      <vt:lpstr>Bilgi Girişi - Bordro</vt:lpstr>
      <vt:lpstr>Üst Yazı SGK</vt:lpstr>
      <vt:lpstr>Bildirim</vt:lpstr>
      <vt:lpstr>5510 Sonrası SGK</vt:lpstr>
      <vt:lpstr>Faiz Hesaplama</vt:lpstr>
      <vt:lpstr>EK-1</vt:lpstr>
      <vt:lpstr>AGİ</vt:lpstr>
      <vt:lpstr>alınan</vt:lpstr>
      <vt:lpstr>alm.ger</vt:lpstr>
      <vt:lpstr>aüit</vt:lpstr>
      <vt:lpstr>AVM</vt:lpstr>
      <vt:lpstr>bau</vt:lpstr>
      <vt:lpstr>çalışılangün</vt:lpstr>
      <vt:lpstr>çalışılmayangün</vt:lpstr>
      <vt:lpstr>çalışmadığıgün_sgk</vt:lpstr>
      <vt:lpstr>çalıştığıgün_sgk</vt:lpstr>
      <vt:lpstr>ÇMGS</vt:lpstr>
      <vt:lpstr>dv</vt:lpstr>
      <vt:lpstr>emeklilik_kanunu</vt:lpstr>
      <vt:lpstr>fark</vt:lpstr>
      <vt:lpstr>fark.borç</vt:lpstr>
      <vt:lpstr>fark.m.e.</vt:lpstr>
      <vt:lpstr>g_ver</vt:lpstr>
      <vt:lpstr>GAT</vt:lpstr>
      <vt:lpstr>GAVMT</vt:lpstr>
      <vt:lpstr>GÖİEGS</vt:lpstr>
      <vt:lpstr>GörAyrSebebi</vt:lpstr>
      <vt:lpstr>Hes.gel.ver.</vt:lpstr>
      <vt:lpstr>Hizmet</vt:lpstr>
      <vt:lpstr>Hizmetyılı</vt:lpstr>
      <vt:lpstr>kes.ger.</vt:lpstr>
      <vt:lpstr>KesGelVer</vt:lpstr>
      <vt:lpstr>kesilen</vt:lpstr>
      <vt:lpstr>KYIL</vt:lpstr>
      <vt:lpstr>madde87</vt:lpstr>
      <vt:lpstr>MBT</vt:lpstr>
      <vt:lpstr>MÖT</vt:lpstr>
      <vt:lpstr>öd.ger</vt:lpstr>
      <vt:lpstr>ödenen</vt:lpstr>
      <vt:lpstr>sgk_gss_iadesi</vt:lpstr>
      <vt:lpstr>sgk_kanun</vt:lpstr>
      <vt:lpstr>TMAGS</vt:lpstr>
      <vt:lpstr>'5510 Sonrası SGK'!Yazdırma_Alanı</vt:lpstr>
      <vt:lpstr>Bildirim!Yazdırma_Alanı</vt:lpstr>
      <vt:lpstr>'Bilgi Girişi - Bordro'!Yazdırma_Alanı</vt:lpstr>
      <vt:lpstr>'Üst Yazı SGK'!Yazdırma_Alanı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&lt;&lt; Kadir &gt;&gt;</dc:creator>
  <cp:lastModifiedBy>hp</cp:lastModifiedBy>
  <cp:lastPrinted>2024-08-01T12:28:14Z</cp:lastPrinted>
  <dcterms:created xsi:type="dcterms:W3CDTF">2010-02-24T14:09:48Z</dcterms:created>
  <dcterms:modified xsi:type="dcterms:W3CDTF">2025-01-03T09:29:06Z</dcterms:modified>
</cp:coreProperties>
</file>